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3"/>
  </bookViews>
  <sheets>
    <sheet name="Смета по ТСН-2001" sheetId="1" r:id="rId1"/>
    <sheet name="Дефектная ведомость" sheetId="2" r:id="rId2"/>
    <sheet name="RV_DATA" sheetId="3" state="hidden" r:id="rId3"/>
    <sheet name="Расчет стоимости ресурсов" sheetId="4" r:id="rId4"/>
    <sheet name="Source" sheetId="5" r:id="rId5"/>
    <sheet name="SourceObSm" sheetId="6" r:id="rId6"/>
    <sheet name="SmtRes" sheetId="7" r:id="rId7"/>
    <sheet name="EtalonRes" sheetId="8" r:id="rId8"/>
  </sheets>
  <definedNames>
    <definedName name="_xlnm.Print_Titles" localSheetId="1">'Дефектная ведомость'!$18:$18</definedName>
    <definedName name="_xlnm.Print_Titles" localSheetId="3">'Расчет стоимости ресурсов'!$4:$7</definedName>
    <definedName name="_xlnm.Print_Titles" localSheetId="0">'Смета по ТСН-2001'!$30:$30</definedName>
    <definedName name="_xlnm.Print_Area" localSheetId="1">'Дефектная ведомость'!$A$1:$E$42</definedName>
    <definedName name="_xlnm.Print_Area" localSheetId="3">'Расчет стоимости ресурсов'!$A$1:$H$29</definedName>
    <definedName name="_xlnm.Print_Area" localSheetId="0">'Смета по ТСН-2001'!$A$1:$K$131</definedName>
  </definedNames>
  <calcPr fullCalcOnLoad="1"/>
</workbook>
</file>

<file path=xl/sharedStrings.xml><?xml version="1.0" encoding="utf-8"?>
<sst xmlns="http://schemas.openxmlformats.org/spreadsheetml/2006/main" count="1861" uniqueCount="345">
  <si>
    <t>Smeta.RU  (495) 974-1589</t>
  </si>
  <si>
    <t>_PS_</t>
  </si>
  <si>
    <t>Smeta.RU</t>
  </si>
  <si>
    <t/>
  </si>
  <si>
    <t>Новый объект</t>
  </si>
  <si>
    <t>Ремонт опорной стены у корп. 1106</t>
  </si>
  <si>
    <t>Сметные нормы списания</t>
  </si>
  <si>
    <t>Коды ОКП для ТСН-2001</t>
  </si>
  <si>
    <t>ТСН 2001- Ремонт</t>
  </si>
  <si>
    <t>Типовой расчет для ТСН-2001 (Ремонт)</t>
  </si>
  <si>
    <t>ТСН-2001</t>
  </si>
  <si>
    <t>Поправки для ТСН-2001</t>
  </si>
  <si>
    <t>Новая локальная смета</t>
  </si>
  <si>
    <t>1</t>
  </si>
  <si>
    <t>6.61-26-2</t>
  </si>
  <si>
    <t>ОТБИВКА ШТУКАТУРКИ ПО КИРПИЧУ И БЕТОНУ СТЕН, ПОТОЛКОВ ПЛОЩАДЬЮ БОЛЕЕ 5 М2</t>
  </si>
  <si>
    <t>100 м2</t>
  </si>
  <si>
    <t>ТСН-2001.6. База. Сб.61, т.26, поз.2</t>
  </si>
  <si>
    <t>Ремонтно-строительные работы</t>
  </si>
  <si>
    <t>ТСН-2001.6-61. 61-26</t>
  </si>
  <si>
    <t>ТСН-2001.6-61-3</t>
  </si>
  <si>
    <t>1,1</t>
  </si>
  <si>
    <t>МАССА МУСОРА</t>
  </si>
  <si>
    <t>т</t>
  </si>
  <si>
    <t>2</t>
  </si>
  <si>
    <t>6.53-2-1</t>
  </si>
  <si>
    <t>РАЗБОРКА КЛАДКИ СТЕН ИЗ КИРПИЧА ПРОСТЫХ</t>
  </si>
  <si>
    <t>10 м3</t>
  </si>
  <si>
    <t>ТСН-2001.6. База. Сб.53, т.2, поз.1</t>
  </si>
  <si>
    <t>*0,33</t>
  </si>
  <si>
    <t>ТСН-2001.6-53. 53-1, 53-2</t>
  </si>
  <si>
    <t>ТСН-2001.6-53-1</t>
  </si>
  <si>
    <t>2,1</t>
  </si>
  <si>
    <t>3</t>
  </si>
  <si>
    <t>6.68-13-1</t>
  </si>
  <si>
    <t>МЕХАНИЗИРОВАННАЯ ПОГРУЗКА СТРОИТЕЛЬНОГО МУСОРА В АВТОМОБИЛИ-САМОСВАЛЫ</t>
  </si>
  <si>
    <t>ТСН-2001.6. База. Сб.68, т.13, поз.1</t>
  </si>
  <si>
    <t>ТСН-2001.6-68. 68-13</t>
  </si>
  <si>
    <t>ТСН-2001.6-68-5</t>
  </si>
  <si>
    <t>4</t>
  </si>
  <si>
    <t>15.1-29-5</t>
  </si>
  <si>
    <t>ПЕРЕВОЗКА СТРОИТЕЛЬНОГО МУСОРА НА РАССТОЯНИЕ 29 КМ АВТОСАМОСВАЛАМИ ГРУЗОПОДЪЕМНОСТЬЮ ДО 16 Т, ПЕРЕВОЗКА ДО 29 КМ</t>
  </si>
  <si>
    <t>ТСН-2001.15. База. Сб.1, т.29, поз.5</t>
  </si>
  <si>
    <t>Транспортные затраты</t>
  </si>
  <si>
    <t>ТСН-2001.15-1. Перевозка строительного мусора</t>
  </si>
  <si>
    <t>ТСН-2001.15-1-5</t>
  </si>
  <si>
    <t>5</t>
  </si>
  <si>
    <t>3.6-1-1</t>
  </si>
  <si>
    <t>УСТРОЙСТВО БЕТОННОЙ ПОДГОТОВКИ</t>
  </si>
  <si>
    <t>100 м3</t>
  </si>
  <si>
    <t>ТСН-2001.3. База. Сб.6, т.1, поз.1</t>
  </si>
  <si>
    <t>)*1,25</t>
  </si>
  <si>
    <t>)*1,15</t>
  </si>
  <si>
    <t>Строительные работы</t>
  </si>
  <si>
    <t>ТСН-2001.3-6. 6-1...6-13</t>
  </si>
  <si>
    <t>ТСН-2001.3-6-1</t>
  </si>
  <si>
    <t>5,1</t>
  </si>
  <si>
    <t>1.3-1-38</t>
  </si>
  <si>
    <t>СМЕСИ БЕТОННЫЕ, БСГ, ТЯЖЕЛОГО БЕТОНА НА ГРАНИТНОМ ЩЕБНЕ, КЛАСС ПРОЧНОСТИ: В15 (М200); П3, ФРАКЦИЯ 5-20, F50-100, W0-2</t>
  </si>
  <si>
    <t>м3</t>
  </si>
  <si>
    <t>ТСН-2001.1. База. Р.3, о.1, поз.38</t>
  </si>
  <si>
    <t>6</t>
  </si>
  <si>
    <t>3.6-6-10</t>
  </si>
  <si>
    <t>АРМИРОВАНИЕ ПОДСТИЛАЮЩИХ СЛОЕВ И НАБЕТОНОК</t>
  </si>
  <si>
    <t>ТСН-2001.3. База. Сб.6, т.6, поз.10</t>
  </si>
  <si>
    <t>6,1</t>
  </si>
  <si>
    <t>1.3-4-42</t>
  </si>
  <si>
    <t>КАРКАСЫ И СЕТКИ АРМАТУРНЫЕ ПЛОСКИЕ, СОБРАННЫЕ И СВАРЕННЫЕ (СВЯЗАННЫЕ) В АРМАТУРНЫЕ ИЗДЕЛИЯ, КЛАСС А-I, ДИАМЕТР 10 ММ</t>
  </si>
  <si>
    <t>ТСН-2001.1. База. Р.3, о.4, поз.42</t>
  </si>
  <si>
    <t>7</t>
  </si>
  <si>
    <t>3.8-3-1</t>
  </si>
  <si>
    <t>КЛАДКА СТЕН НАРУЖНЫХ ПРОСТЫХ ПРИ ВЫСОТЕ ЭТАЖА ДО 4 М</t>
  </si>
  <si>
    <t>ТСН-2001.3. База. Сб.8, т.3, поз.1</t>
  </si>
  <si>
    <t>ТСН-2001.3-8. 8-3...8-19</t>
  </si>
  <si>
    <t>ТСН-2001.3-8-3</t>
  </si>
  <si>
    <t>7,1</t>
  </si>
  <si>
    <t>1.1-1-354</t>
  </si>
  <si>
    <t>КИРПИЧ КЕРАМИЧЕСКИЙ ОБЫКНОВЕННЫЙ, РАЗМЕР 250Х120Х65 ММ, МАРКА СРЕДНЯЯ</t>
  </si>
  <si>
    <t>1000 шт.</t>
  </si>
  <si>
    <t>ТСН-2001.1. База. Р.1, о.1, поз.354</t>
  </si>
  <si>
    <t>7,2</t>
  </si>
  <si>
    <t>1.3-2-14</t>
  </si>
  <si>
    <t>РАСТВОРЫ ЦЕМЕНТНО-ИЗВЕСТКОВЫЕ, МАРКА 100</t>
  </si>
  <si>
    <t>ТСН-2001.1. Доп.14. Р.3, о.2, поз.14</t>
  </si>
  <si>
    <t>8</t>
  </si>
  <si>
    <t>3.15-64-1</t>
  </si>
  <si>
    <t>УЛУЧШЕННАЯ ШТУКАТУРКА ПО СЕТКЕ СТЕН БЕЗ УСТРОЙСТВА КАРКАСА ЦЕМЕНТНО-ИЗВЕСТКОВЫМ РАСТВОРОМ</t>
  </si>
  <si>
    <t>ТСН-2001.3. База. Сб.15, т.64, поз.1</t>
  </si>
  <si>
    <t>ТСН-2001.3-15. 15-51...15-81</t>
  </si>
  <si>
    <t>ТСН-2001.3-15-7</t>
  </si>
  <si>
    <t>8,1</t>
  </si>
  <si>
    <t>1.3-2-29</t>
  </si>
  <si>
    <t>СМЕСИ СУХИЕ ШТУКАТУРНЫЕ ЦЕМЕНТНО-ИЗВЕСТКОВО-ПЕСЧАНЫЕ ДЛЯ ВНУТРЕННИХ И НАРУЖНЫХ РАБОТ, ДЛЯ РУЧНОГО НАНЕСЕНИЯ:  В7,5 (М100), F50, КРУПНОСТЬ ЗАПОЛНИТЕЛЯ НЕ БОЛЕЕ 0,5 ММ</t>
  </si>
  <si>
    <t>ТСН-2001.1. Доп.22. Р.3, о.2, поз.29</t>
  </si>
  <si>
    <t>8,2</t>
  </si>
  <si>
    <t>1.3-2-13</t>
  </si>
  <si>
    <t>РАСТВОРЫ ЦЕМЕНТНО-ИЗВЕСТКОВЫЕ, МАРКА 75</t>
  </si>
  <si>
    <t>ТСН-2001.1. Доп.14. Р.3, о.2, поз.13</t>
  </si>
  <si>
    <t>9</t>
  </si>
  <si>
    <t>3.15-65-1</t>
  </si>
  <si>
    <t>УСТРОЙСТВО КАРКАСА ПРИ ОШТУКАТУРИВАНИИ СТЕН</t>
  </si>
  <si>
    <t>ТСН-2001.3. База. Сб.15, т.65, поз.1</t>
  </si>
  <si>
    <t>9,1</t>
  </si>
  <si>
    <t>1.1-1-341</t>
  </si>
  <si>
    <t>КАТАНКА (ПРОВОЛОКА КАТАНАЯ) ОБЩЕГО НАЗНАЧЕНИЯ (УГЛЕРОДИСТАЯ) СПОКОЙНАЯ, МАРКА БСТ1СП-3СП, ДИАМЕТР 5,5-6,5 ММ</t>
  </si>
  <si>
    <t>ТСН-2001.1. База. Р.1, о.1, поз.341</t>
  </si>
  <si>
    <t>10</t>
  </si>
  <si>
    <t>3.15-83-1</t>
  </si>
  <si>
    <t>ПЕРХЛОРВИНИЛОВАЯ ОКРАСКА ФАСАДОВ С ЛЕСОВ С ПОДГОТОВКОЙ ПОВЕРХНОСТИ ПО ШТУКАТУРКЕ ИЛИ БЕТОНУ</t>
  </si>
  <si>
    <t>ТСН-2001.3. Доп.22. Сб.15, т.83, поз.1</t>
  </si>
  <si>
    <t>ТСН-2001.3-15. 15-82...15-90, 15-91-1, 15-91-2</t>
  </si>
  <si>
    <t>ТСН-2001.3-15-8</t>
  </si>
  <si>
    <t>10,1</t>
  </si>
  <si>
    <t>1.1-1-450</t>
  </si>
  <si>
    <t>КРАСКИ ФАСАДНЫЕ ПЕРХЛОРВИНИЛОВЫЕ, МАРКА ХВ161 'А' (ЦВЕТНАЯ)</t>
  </si>
  <si>
    <t>ТСН-2001.1. База. Р.1, о.1, поз.450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</si>
  <si>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</si>
  <si>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</si>
  <si>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</si>
  <si>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</si>
  <si>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</si>
  <si>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</si>
  <si>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</si>
  <si>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</si>
  <si>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</si>
  <si>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</si>
  <si>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</si>
  <si>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</si>
  <si>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</si>
  <si>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</si>
  <si>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</si>
  <si>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</si>
  <si>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</si>
  <si>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</si>
  <si>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</si>
  <si>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</si>
  <si>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</si>
  <si>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</si>
  <si>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</si>
  <si>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</si>
  <si>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</si>
  <si>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</si>
  <si>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</si>
  <si>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</si>
  <si>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</si>
  <si>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</si>
  <si>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</si>
  <si>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</si>
  <si>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</si>
  <si>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</si>
  <si>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</si>
  <si>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</si>
  <si>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</si>
  <si>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</si>
  <si>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</si>
  <si>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</si>
  <si>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</si>
  <si>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</si>
  <si>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</si>
  <si>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</si>
  <si>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</si>
  <si>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</si>
  <si>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ИТОГО</t>
  </si>
  <si>
    <t>Итого</t>
  </si>
  <si>
    <t>НДС</t>
  </si>
  <si>
    <t>НДС 18%</t>
  </si>
  <si>
    <t>всг</t>
  </si>
  <si>
    <t>Уровень цен</t>
  </si>
  <si>
    <t>Сборник индексов</t>
  </si>
  <si>
    <t>ТСН-2001 ремонт</t>
  </si>
  <si>
    <t>_OBSM_</t>
  </si>
  <si>
    <t>9999990008</t>
  </si>
  <si>
    <t>ТРУДОЗАТРАТЫ РАБОЧИХ (ЭСН)</t>
  </si>
  <si>
    <t>чел.-ч.</t>
  </si>
  <si>
    <t>0.0-0-0</t>
  </si>
  <si>
    <t>2.0-0-0</t>
  </si>
  <si>
    <t>СТОИМОСТЬ ПРОЧИХ МАШИН (ЭСН)</t>
  </si>
  <si>
    <t>руб.</t>
  </si>
  <si>
    <t>2.1-10-4</t>
  </si>
  <si>
    <t>ТСН-2001.2. База. п.1-10-4 (101001)</t>
  </si>
  <si>
    <t>КОМПРЕССОРЫ С ДИЗЕЛЬНЫМ ДВИГАТЕЛЕМ ПРИЦЕПНЫЕ ДО 2,5 М3/МИН</t>
  </si>
  <si>
    <t>маш.-ч</t>
  </si>
  <si>
    <t>2.1-30-54</t>
  </si>
  <si>
    <t>ТСН-2001.2. База. п.1-30-54 (308901)</t>
  </si>
  <si>
    <t>МОЛОТКИ ОТБОЙНЫЕ</t>
  </si>
  <si>
    <t>2.1-18-9</t>
  </si>
  <si>
    <t>ТСН-2001.2. База. п.1-18-9 (183003)</t>
  </si>
  <si>
    <t>АВТОМОБИЛИ ГРУЗОВЫЕ БОРТОВЫЕ, ГРУЗОПОДЪЕМНОСТЬ ДО 8 Т</t>
  </si>
  <si>
    <t>2.1-6-51</t>
  </si>
  <si>
    <t>ТСН-2001.2. База. п.1-6-51 (069401)</t>
  </si>
  <si>
    <t>ВИБРАТОРЫ ПОВЕРХНОСТНЫЕ</t>
  </si>
  <si>
    <t>1.1-1-118</t>
  </si>
  <si>
    <t>ТСН-2001.1. База. Р.1, о.1, поз.118</t>
  </si>
  <si>
    <t>ВОДА</t>
  </si>
  <si>
    <t>1.1-1-655</t>
  </si>
  <si>
    <t>ТСН-2001.1. База. Р.1, о.1, поз.655</t>
  </si>
  <si>
    <t>МЕШКОВИНА</t>
  </si>
  <si>
    <t>м2</t>
  </si>
  <si>
    <t>2.1-18-7</t>
  </si>
  <si>
    <t>ТСН-2001.2. База. п.1-18-7 (183001)</t>
  </si>
  <si>
    <t>АВТОМОБИЛИ ГРУЗОВЫЕ БОРТОВЫЕ, ГРУЗОПОДЪЕМНОСТЬ ДО 5 Т</t>
  </si>
  <si>
    <t>2.1-3-35</t>
  </si>
  <si>
    <t>ТСН-2001.2. База. п.1-3-35 (032006)</t>
  </si>
  <si>
    <t>КРАНЫ НА АВТОМОБИЛЬНОМ ХОДУ, ГРУЗОПОДЪЕМНОСТЬ ДО 10 Т</t>
  </si>
  <si>
    <t>1.1-1-962</t>
  </si>
  <si>
    <t>ТСН-2001.1. База. Р.1, о.1, поз.962</t>
  </si>
  <si>
    <t>ПРОВОЛОКА СТАЛЬНАЯ НИЗКОУГЛЕРОДИСТАЯ ОБЩЕГО НАЗНАЧЕНИЯ, ДИАМЕТР 1,1 ММ</t>
  </si>
  <si>
    <t>1.1-1-81</t>
  </si>
  <si>
    <t>ТСН-2001.1. База. Р.1, о.1, поз.81</t>
  </si>
  <si>
    <t>БРУСКИ ХВОЙНЫХ ПОРОД ОБРЕЗНЫЕ, ДЛИНА 2-6,5 М, СОРТ IV, ТОЛЩИНА 50-60 ММ</t>
  </si>
  <si>
    <t>СТОИМОСТЬ ПРОЧИХ МАТЕРИАЛОВ (ЭСН)</t>
  </si>
  <si>
    <t>1.1-1-1029</t>
  </si>
  <si>
    <t>ТСН-2001.1. База. Р.1, о.1, поз.1029</t>
  </si>
  <si>
    <t>СЕТКА ПРОВОЛОЧНАЯ ШТУКАТУРНАЯ ТКАНАЯ, КВАДРАТ 5Х5 ММ, ТОЛЩИНА 1,6 ММ</t>
  </si>
  <si>
    <t>1.1-1-236</t>
  </si>
  <si>
    <t>ТСН-2001.1. База. Р.1, о.1, поз.236</t>
  </si>
  <si>
    <t>ДЮБЕЛИ С НАСАЖЕННЫМИ ШАЙБАМИ</t>
  </si>
  <si>
    <t>1.1-1-740</t>
  </si>
  <si>
    <t>ТСН-2001.1. База. Р.1, о.1, поз.740</t>
  </si>
  <si>
    <t>ПАКЛЯ ПРОПИТАННАЯ</t>
  </si>
  <si>
    <t>кг</t>
  </si>
  <si>
    <t>2.1-4-30</t>
  </si>
  <si>
    <t>ТСН-2001.2. База. п.1-4-30 (042901)</t>
  </si>
  <si>
    <t>ЛЕБЕДКИ ЭЛЕКТРИЧЕСКИЕ, ГРУЗОПОДЪЕМНОСТЬ ДО 0,5 Т</t>
  </si>
  <si>
    <t>1.1-1-115</t>
  </si>
  <si>
    <t>ТСН-2001.1. База. Р.1, о.1, поз.115</t>
  </si>
  <si>
    <t>ВЕТОШЬ</t>
  </si>
  <si>
    <t>1.1-1-1486</t>
  </si>
  <si>
    <t>ТСН-2001.1. База. Р.1, о.1, поз.1486</t>
  </si>
  <si>
    <t>ШПАТЛЕВКА ПЕРХЛОРВИНИЛОВАЯ, МАРКА ХВ</t>
  </si>
  <si>
    <t>1.1-1-166</t>
  </si>
  <si>
    <t>ТСН-2001.1. База. Р.1, о.1, поз.166</t>
  </si>
  <si>
    <t>ГРУНТОВКА ПЕРХЛОРВИНИЛОВАЯ, ХВ</t>
  </si>
  <si>
    <t>1.1-1-758</t>
  </si>
  <si>
    <t>ТСН-2001.1. База. Р.1, о.1, поз.758</t>
  </si>
  <si>
    <t>ПЕМЗА ШЛАКОВАЯ</t>
  </si>
  <si>
    <t>1.1-1-999</t>
  </si>
  <si>
    <t>ТСН-2001.1. База. Р.1, о.1, поз.999</t>
  </si>
  <si>
    <t>РАСТВОРИТЕЛЬ 'УАЙТ-СПИРИТ'</t>
  </si>
  <si>
    <t>5745010000</t>
  </si>
  <si>
    <t>СМЕСИ БЕТОННЫЕ, БСГ, ТЯЖЕЛОГО БЕТОНА</t>
  </si>
  <si>
    <t>0930110000</t>
  </si>
  <si>
    <t>АРМАТУРА</t>
  </si>
  <si>
    <t>5741210000</t>
  </si>
  <si>
    <t>КИРПИЧ КЕРАМИЧЕСКИЙ, СИЛИКАТНЫЙ (574124) ИЛИ ПУСТОТЕЛЫЙ (574104)</t>
  </si>
  <si>
    <t>5745520000</t>
  </si>
  <si>
    <t>РАСТВОРЫ ГОТОВЫЕ КЛАДОЧНЫЕ ТЯЖЕЛЫЕ ЦЕМЕНТНО-ИЗВЕСТКОВЫЕ</t>
  </si>
  <si>
    <t>0131000000</t>
  </si>
  <si>
    <t>5745120000</t>
  </si>
  <si>
    <t>СМЕСИ СУХИЕ ДЛЯ ШТУКАТУРНЫХ РАБОТ</t>
  </si>
  <si>
    <t>РАСТВОРЫ ТЯЖЕЛЫЕ ЦЕМЕНТНО-ИЗВЕСТКОВЫЕ МАРКИ 75</t>
  </si>
  <si>
    <t>0934002000</t>
  </si>
  <si>
    <t>КАТАНКА (ПРОВОЛОКА КАТАННАЯ) ОБЩЕГО НАЗНАЧЕНИЯ, КИПЯЩАЯ ПОЛУСПОКОЙНАЯ МАРОК БСТ0, БСТ1КП-БСТ3КП, БСТ1ПС-БСТ3ПС, ДИАМЕТР 5,5-6,5 ММ</t>
  </si>
  <si>
    <t>2329160000</t>
  </si>
  <si>
    <t>КРАСКИ ФАСАДНЫЕ ПЕРХЛОРВИНИЛОВЫЕ</t>
  </si>
  <si>
    <t>"СОГЛАСОВАНО"</t>
  </si>
  <si>
    <t>"УТВЕРЖДАЮ"</t>
  </si>
  <si>
    <t>Форма № 1б</t>
  </si>
  <si>
    <t>"_____"________________ 2016 г.</t>
  </si>
  <si>
    <t>(наименование стройки)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</si>
  <si>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</si>
  <si>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</si>
  <si>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</si>
  <si>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</si>
  <si>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</si>
  <si>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тыс.руб</t>
  </si>
  <si>
    <t>Монтажные работы</t>
  </si>
  <si>
    <t>Оборудование</t>
  </si>
  <si>
    <t>Прочие работы</t>
  </si>
  <si>
    <t>Средства на оплату труда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</si>
  <si>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</si>
  <si>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</si>
  <si>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</si>
  <si>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</si>
  <si>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</si>
  <si>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</si>
  <si>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</si>
  <si>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</si>
  <si>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ВСЕГО в базисном уровне цен, руб.</t>
  </si>
  <si>
    <t>Коэфф. пересчета и нормы НР и СП</t>
  </si>
  <si>
    <t>Всего в текущем уровне цен, руб.</t>
  </si>
  <si>
    <t xml:space="preserve">Составлен(а) в уровне текущих (прогнозных) цен ТСН-2001 ремонт май 2016 года </t>
  </si>
  <si>
    <t>ЗП</t>
  </si>
  <si>
    <t>НР от ЗП</t>
  </si>
  <si>
    <t>%</t>
  </si>
  <si>
    <t>СП от ЗП</t>
  </si>
  <si>
    <t>ЗТР</t>
  </si>
  <si>
    <t>чел-ч</t>
  </si>
  <si>
    <t>ЭМ</t>
  </si>
  <si>
    <t>в т.ч. ЗПМ</t>
  </si>
  <si>
    <t>НР и СП от ЗПМ</t>
  </si>
  <si>
    <t>МР</t>
  </si>
  <si>
    <t xml:space="preserve">Составил   </t>
  </si>
  <si>
    <t>[должность,подпись(инициалы,фамилия)]</t>
  </si>
  <si>
    <t xml:space="preserve">Проверил   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</si>
  <si>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</si>
  <si>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</si>
  <si>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</si>
  <si>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</si>
  <si>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№ п/п</t>
  </si>
  <si>
    <t>Количество</t>
  </si>
  <si>
    <t>Примечание</t>
  </si>
  <si>
    <t>Заказчик _________________</t>
  </si>
  <si>
    <t>Подрядчик _________________</t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</si>
  <si>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</si>
  <si>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</si>
  <si>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</si>
  <si>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</si>
  <si>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</si>
  <si>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</si>
  <si>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</si>
  <si>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</si>
  <si>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</si>
  <si>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</si>
  <si>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</si>
  <si>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STOIM_B</t>
  </si>
  <si>
    <t>PRICE_C</t>
  </si>
  <si>
    <t>STOIM_C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</si>
  <si>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</si>
  <si>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</si>
  <si>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</si>
  <si>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</si>
  <si>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</si>
  <si>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</si>
  <si>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</si>
  <si>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</si>
  <si>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</si>
  <si>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</si>
  <si>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</si>
  <si>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</si>
  <si>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</si>
  <si>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Ресурсная ведомость на</t>
  </si>
  <si>
    <t>Объект: Ремонт опорной стены у корп. 1106</t>
  </si>
  <si>
    <t>Обоснование</t>
  </si>
  <si>
    <t>Наименование</t>
  </si>
  <si>
    <t>Объем</t>
  </si>
  <si>
    <t>Базовая</t>
  </si>
  <si>
    <t>цена</t>
  </si>
  <si>
    <t>стоимость</t>
  </si>
  <si>
    <t>Текущая</t>
  </si>
  <si>
    <t xml:space="preserve">Материальные ресурсы </t>
  </si>
  <si>
    <t xml:space="preserve">Итого материальные ресурсы </t>
  </si>
  <si>
    <t>Глава управы</t>
  </si>
  <si>
    <t>______________А.Г. Журба</t>
  </si>
  <si>
    <t>Выполнение работ по благоустройству дворовой территории по адресу: Москва, Зеленоград, корпус 1106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</si>
</sst>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;[Red]\-\ #,##0.00"/>
    <numFmt numFmtId="185" formatCode="mmmm"/>
    <numFmt numFmtId="186" formatCode="#,##0.00####;[Red]\-\ #,##0.00####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184" fontId="12" fillId="0" borderId="0" xfId="0" applyNumberFormat="1" applyFont="1" applyAlignment="1">
      <alignment/>
    </xf>
    <xf numFmtId="185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186" fontId="12" fillId="0" borderId="0" xfId="0" applyNumberFormat="1" applyFont="1" applyAlignment="1">
      <alignment horizontal="right"/>
    </xf>
    <xf numFmtId="184" fontId="12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12" fillId="0" borderId="0" xfId="0" applyFont="1" applyAlignment="1" quotePrefix="1">
      <alignment horizontal="right" wrapText="1"/>
    </xf>
    <xf numFmtId="184" fontId="0" fillId="0" borderId="0" xfId="0" applyNumberFormat="1" applyAlignment="1">
      <alignment/>
    </xf>
    <xf numFmtId="0" fontId="0" fillId="0" borderId="13" xfId="0" applyBorder="1" applyAlignment="1">
      <alignment/>
    </xf>
    <xf numFmtId="184" fontId="1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wrapText="1"/>
    </xf>
    <xf numFmtId="0" fontId="12" fillId="0" borderId="0" xfId="0" applyFont="1" applyAlignment="1" quotePrefix="1">
      <alignment horizontal="left" wrapText="1"/>
    </xf>
    <xf numFmtId="0" fontId="12" fillId="0" borderId="1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vertical="top"/>
    </xf>
    <xf numFmtId="0" fontId="13" fillId="0" borderId="14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1" xfId="0" applyFont="1" applyBorder="1" applyAlignment="1">
      <alignment horizontal="left" vertical="top"/>
    </xf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left" vertical="top"/>
    </xf>
    <xf numFmtId="0" fontId="12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right" wrapText="1"/>
    </xf>
    <xf numFmtId="0" fontId="12" fillId="0" borderId="12" xfId="0" applyFont="1" applyBorder="1" applyAlignment="1">
      <alignment horizontal="right"/>
    </xf>
    <xf numFmtId="0" fontId="13" fillId="0" borderId="11" xfId="0" applyFont="1" applyBorder="1" applyAlignment="1" quotePrefix="1">
      <alignment horizontal="center" vertical="center" wrapText="1"/>
    </xf>
    <xf numFmtId="49" fontId="12" fillId="0" borderId="11" xfId="0" applyNumberFormat="1" applyFont="1" applyBorder="1" applyAlignment="1">
      <alignment horizontal="left" vertical="top" wrapText="1"/>
    </xf>
    <xf numFmtId="184" fontId="12" fillId="0" borderId="11" xfId="0" applyNumberFormat="1" applyFont="1" applyBorder="1" applyAlignment="1">
      <alignment horizontal="right" wrapText="1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left" wrapText="1"/>
    </xf>
    <xf numFmtId="184" fontId="19" fillId="0" borderId="13" xfId="0" applyNumberFormat="1" applyFont="1" applyBorder="1" applyAlignment="1">
      <alignment horizontal="right"/>
    </xf>
    <xf numFmtId="18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wrapText="1"/>
    </xf>
    <xf numFmtId="18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3" fillId="0" borderId="12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/>
    </xf>
    <xf numFmtId="184" fontId="19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0"/>
  <sheetViews>
    <sheetView zoomScalePageLayoutView="0" workbookViewId="0" topLeftCell="A101">
      <selection activeCell="A18" sqref="A18:K18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40.7109375" style="0" customWidth="1"/>
    <col min="4" max="6" width="11.7109375" style="0" customWidth="1"/>
    <col min="7" max="7" width="12.7109375" style="0" customWidth="1"/>
    <col min="8" max="8" width="10.7109375" style="0" customWidth="1"/>
    <col min="9" max="11" width="12.7109375" style="0" customWidth="1"/>
    <col min="15" max="30" width="0" style="0" hidden="1" customWidth="1"/>
    <col min="31" max="31" width="150.7109375" style="0" hidden="1" customWidth="1"/>
    <col min="32" max="32" width="104.7109375" style="0" hidden="1" customWidth="1"/>
    <col min="33" max="33" width="0" style="0" hidden="1" customWidth="1"/>
    <col min="34" max="34" width="110.7109375" style="0" hidden="1" customWidth="1"/>
    <col min="35" max="36" width="0" style="0" hidden="1" customWidth="1"/>
  </cols>
  <sheetData>
    <row r="1" spans="1:11" ht="14.25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257</v>
      </c>
    </row>
    <row r="2" spans="1:11" ht="16.5">
      <c r="A2" s="11"/>
      <c r="B2" s="61" t="s">
        <v>255</v>
      </c>
      <c r="C2" s="61"/>
      <c r="D2" s="61"/>
      <c r="E2" s="61"/>
      <c r="F2" s="10"/>
      <c r="G2" s="61" t="s">
        <v>256</v>
      </c>
      <c r="H2" s="61"/>
      <c r="I2" s="61"/>
      <c r="J2" s="61"/>
      <c r="K2" s="61"/>
    </row>
    <row r="3" spans="1:11" ht="14.25">
      <c r="A3" s="10"/>
      <c r="B3" s="62"/>
      <c r="C3" s="62"/>
      <c r="D3" s="62"/>
      <c r="E3" s="62"/>
      <c r="F3" s="10"/>
      <c r="G3" s="62" t="s">
        <v>342</v>
      </c>
      <c r="H3" s="62"/>
      <c r="I3" s="62"/>
      <c r="J3" s="62"/>
      <c r="K3" s="62"/>
    </row>
    <row r="4" spans="1:11" ht="14.25">
      <c r="A4" s="13"/>
      <c r="B4" s="13"/>
      <c r="C4" s="14"/>
      <c r="D4" s="14"/>
      <c r="E4" s="14"/>
      <c r="F4" s="10"/>
      <c r="G4" s="12"/>
      <c r="H4" s="14"/>
      <c r="I4" s="14"/>
      <c r="J4" s="14"/>
      <c r="K4" s="12"/>
    </row>
    <row r="5" spans="1:11" ht="14.25">
      <c r="A5" s="12"/>
      <c r="B5" s="62" t="str">
        <f>CONCATENATE("______________________ ",IF(Source!AL12&lt;&gt;"",Source!AL12,""))</f>
        <v>______________________ </v>
      </c>
      <c r="C5" s="62"/>
      <c r="D5" s="62"/>
      <c r="E5" s="62"/>
      <c r="F5" s="10"/>
      <c r="G5" s="62" t="s">
        <v>343</v>
      </c>
      <c r="H5" s="62"/>
      <c r="I5" s="62"/>
      <c r="J5" s="62"/>
      <c r="K5" s="62"/>
    </row>
    <row r="6" spans="1:11" ht="14.25">
      <c r="A6" s="15"/>
      <c r="B6" s="63" t="s">
        <v>258</v>
      </c>
      <c r="C6" s="63"/>
      <c r="D6" s="63"/>
      <c r="E6" s="63"/>
      <c r="F6" s="10"/>
      <c r="G6" s="63" t="s">
        <v>258</v>
      </c>
      <c r="H6" s="63"/>
      <c r="I6" s="63"/>
      <c r="J6" s="63"/>
      <c r="K6" s="63"/>
    </row>
    <row r="8" spans="1:11" ht="14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12.75">
      <c r="A10" s="65" t="s">
        <v>259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31" ht="15.75">
      <c r="A12" s="64" t="str">
        <f>CONCATENATE("ЛОКАЛЬНАЯ СМЕТА № ",IF(Source!F20&lt;&gt;"Новая локальная смета",Source!F20,""))</f>
        <v>ЛОКАЛЬНАЯ СМЕТА № 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AE12" s="16" t="str">
        <f>CONCATENATE("ЛОКАЛЬНАЯ СМЕТА № ",IF(Source!F20&lt;&gt;"Новая локальная смета",Source!F20,""))</f>
        <v>ЛОКАЛЬНАЯ СМЕТА № </v>
      </c>
    </row>
    <row r="13" spans="1:11" ht="12.75">
      <c r="A13" s="67" t="s">
        <v>260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31" ht="18" hidden="1">
      <c r="A15" s="68">
        <f>IF(Source!G20&lt;&gt;"Новая локальная смета",Source!G20,"")</f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AE15" s="17">
        <f>IF(Source!G20&lt;&gt;"Новая локальная смета",Source!G20,"")</f>
      </c>
    </row>
    <row r="16" spans="1:11" ht="14.25" hidden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31" ht="18">
      <c r="A17" s="69" t="s">
        <v>344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AE17" s="18" t="str">
        <f>IF(Source!G12&lt;&gt;"Новый объект",Source!G12,"")</f>
        <v>Ремонт опорной стены у корп. 1106</v>
      </c>
    </row>
    <row r="18" spans="1:11" ht="12.75">
      <c r="A18" s="67" t="s">
        <v>261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31" ht="14.25">
      <c r="A20" s="71" t="str">
        <f>CONCATENATE("Основание: чертежи № ",Source!J20)</f>
        <v>Основание: чертежи № 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AE20" s="19" t="str">
        <f>CONCATENATE("Основание: чертежи № ",Source!J20)</f>
        <v>Основание: чертежи № </v>
      </c>
    </row>
    <row r="21" spans="1:11" ht="28.5">
      <c r="A21" s="10"/>
      <c r="B21" s="10"/>
      <c r="C21" s="10"/>
      <c r="D21" s="10"/>
      <c r="E21" s="10"/>
      <c r="F21" s="10"/>
      <c r="G21" s="10"/>
      <c r="H21" s="10"/>
      <c r="I21" s="20" t="s">
        <v>262</v>
      </c>
      <c r="J21" s="20" t="s">
        <v>263</v>
      </c>
      <c r="K21" s="10"/>
    </row>
    <row r="22" spans="1:11" ht="14.25">
      <c r="A22" s="10"/>
      <c r="B22" s="10"/>
      <c r="C22" s="10"/>
      <c r="D22" s="10"/>
      <c r="E22" s="10"/>
      <c r="F22" s="62" t="s">
        <v>264</v>
      </c>
      <c r="G22" s="62"/>
      <c r="H22" s="62"/>
      <c r="I22" s="21">
        <f>SUM(O31:O117)/1000</f>
        <v>67.58555</v>
      </c>
      <c r="J22" s="21">
        <v>851.04</v>
      </c>
      <c r="K22" s="10" t="s">
        <v>265</v>
      </c>
    </row>
    <row r="23" spans="1:11" ht="14.25" hidden="1">
      <c r="A23" s="10"/>
      <c r="B23" s="10"/>
      <c r="C23" s="10"/>
      <c r="D23" s="10"/>
      <c r="E23" s="10"/>
      <c r="F23" s="62" t="s">
        <v>53</v>
      </c>
      <c r="G23" s="62"/>
      <c r="H23" s="62"/>
      <c r="I23" s="21">
        <f>SUM(X31:X117)/1000</f>
        <v>66.11548</v>
      </c>
      <c r="J23" s="21">
        <f>(Source!F60)/1000</f>
        <v>713.04545</v>
      </c>
      <c r="K23" s="10" t="s">
        <v>265</v>
      </c>
    </row>
    <row r="24" spans="1:11" ht="14.25" hidden="1">
      <c r="A24" s="10"/>
      <c r="B24" s="10"/>
      <c r="C24" s="10"/>
      <c r="D24" s="10"/>
      <c r="E24" s="10"/>
      <c r="F24" s="62" t="s">
        <v>266</v>
      </c>
      <c r="G24" s="62"/>
      <c r="H24" s="62"/>
      <c r="I24" s="21">
        <f>SUM(Y31:Y117)/1000</f>
        <v>0</v>
      </c>
      <c r="J24" s="21">
        <f>(Source!F61)/1000</f>
        <v>0</v>
      </c>
      <c r="K24" s="10" t="s">
        <v>265</v>
      </c>
    </row>
    <row r="25" spans="1:11" ht="14.25" hidden="1">
      <c r="A25" s="10"/>
      <c r="B25" s="10"/>
      <c r="C25" s="10"/>
      <c r="D25" s="10"/>
      <c r="E25" s="10"/>
      <c r="F25" s="62" t="s">
        <v>267</v>
      </c>
      <c r="G25" s="62"/>
      <c r="H25" s="62"/>
      <c r="I25" s="21">
        <f>SUM(Z31:Z117)/1000</f>
        <v>0</v>
      </c>
      <c r="J25" s="21">
        <f>(Source!F54)/1000</f>
        <v>0</v>
      </c>
      <c r="K25" s="10" t="s">
        <v>265</v>
      </c>
    </row>
    <row r="26" spans="1:11" ht="14.25" hidden="1">
      <c r="A26" s="10"/>
      <c r="B26" s="10"/>
      <c r="C26" s="10"/>
      <c r="D26" s="10"/>
      <c r="E26" s="10"/>
      <c r="F26" s="62" t="s">
        <v>268</v>
      </c>
      <c r="G26" s="62"/>
      <c r="H26" s="62"/>
      <c r="I26" s="21">
        <f>SUM(AA31:AA117)/1000</f>
        <v>1.47007</v>
      </c>
      <c r="J26" s="21">
        <f>(Source!F62)/1000</f>
        <v>8.17359</v>
      </c>
      <c r="K26" s="10" t="s">
        <v>265</v>
      </c>
    </row>
    <row r="27" spans="1:11" ht="14.25">
      <c r="A27" s="10"/>
      <c r="B27" s="10"/>
      <c r="C27" s="10"/>
      <c r="D27" s="10"/>
      <c r="E27" s="10"/>
      <c r="F27" s="62" t="s">
        <v>269</v>
      </c>
      <c r="G27" s="62"/>
      <c r="H27" s="62"/>
      <c r="I27" s="21">
        <f>SUM(W31:W117)/1000</f>
        <v>10.825040000000001</v>
      </c>
      <c r="J27" s="21">
        <f>(Source!F59+Source!F58)/1000</f>
        <v>184.45866</v>
      </c>
      <c r="K27" s="10" t="s">
        <v>265</v>
      </c>
    </row>
    <row r="28" spans="1:11" ht="14.25">
      <c r="A28" s="10" t="s">
        <v>281</v>
      </c>
      <c r="B28" s="10"/>
      <c r="C28" s="10"/>
      <c r="D28" s="22"/>
      <c r="E28" s="23"/>
      <c r="F28" s="10"/>
      <c r="G28" s="10"/>
      <c r="H28" s="10"/>
      <c r="I28" s="10"/>
      <c r="J28" s="10"/>
      <c r="K28" s="10"/>
    </row>
    <row r="29" spans="1:11" ht="57">
      <c r="A29" s="24" t="s">
        <v>270</v>
      </c>
      <c r="B29" s="24" t="s">
        <v>271</v>
      </c>
      <c r="C29" s="24" t="s">
        <v>272</v>
      </c>
      <c r="D29" s="24" t="s">
        <v>273</v>
      </c>
      <c r="E29" s="24" t="s">
        <v>274</v>
      </c>
      <c r="F29" s="24" t="s">
        <v>275</v>
      </c>
      <c r="G29" s="25" t="s">
        <v>276</v>
      </c>
      <c r="H29" s="25" t="s">
        <v>277</v>
      </c>
      <c r="I29" s="24" t="s">
        <v>278</v>
      </c>
      <c r="J29" s="24" t="s">
        <v>279</v>
      </c>
      <c r="K29" s="24" t="s">
        <v>280</v>
      </c>
    </row>
    <row r="30" spans="1:11" ht="14.25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4">
        <v>6</v>
      </c>
      <c r="G30" s="24">
        <v>7</v>
      </c>
      <c r="H30" s="24">
        <v>8</v>
      </c>
      <c r="I30" s="24">
        <v>9</v>
      </c>
      <c r="J30" s="24">
        <v>10</v>
      </c>
      <c r="K30" s="24">
        <v>11</v>
      </c>
    </row>
    <row r="31" spans="1:22" ht="42.75">
      <c r="A31" s="26" t="str">
        <f>Source!E24</f>
        <v>1</v>
      </c>
      <c r="B31" s="27" t="str">
        <f>Source!F24</f>
        <v>6.61-26-2</v>
      </c>
      <c r="C31" s="27" t="str">
        <f>Source!G24</f>
        <v>ОТБИВКА ШТУКАТУРКИ ПО КИРПИЧУ И БЕТОНУ СТЕН, ПОТОЛКОВ ПЛОЩАДЬЮ БОЛЕЕ 5 М2</v>
      </c>
      <c r="D31" s="28" t="str">
        <f>Source!H24</f>
        <v>100 м2</v>
      </c>
      <c r="E31" s="9">
        <f>Source!I24</f>
        <v>3.52</v>
      </c>
      <c r="F31" s="30"/>
      <c r="G31" s="29"/>
      <c r="H31" s="9"/>
      <c r="I31" s="31"/>
      <c r="J31" s="9"/>
      <c r="K31" s="31"/>
      <c r="Q31">
        <f>ROUND((Source!DN24/100)*ROUND((Source!AF24*Source!AV24)*Source!I24,2),2)</f>
        <v>1413.07</v>
      </c>
      <c r="R31">
        <f>Source!X24</f>
        <v>21670.83</v>
      </c>
      <c r="S31">
        <f>ROUND((Source!DO24/100)*ROUND((Source!AF24*Source!AV24)*Source!I24,2),2)</f>
        <v>971.49</v>
      </c>
      <c r="T31">
        <f>Source!Y24</f>
        <v>13243.28</v>
      </c>
      <c r="U31">
        <f>ROUND((175/100)*ROUND((Source!AE24*Source!AV24)*Source!I24,2),2)</f>
        <v>0</v>
      </c>
      <c r="V31">
        <f>ROUND((167/100)*ROUND(Source!CS24*Source!I24,2),2)</f>
        <v>0</v>
      </c>
    </row>
    <row r="32" ht="12.75">
      <c r="C32" s="32" t="str">
        <f>"Объем: "&amp;Source!I24&amp;"=352/"&amp;"100"</f>
        <v>Объем: 3,52=352/100</v>
      </c>
    </row>
    <row r="33" spans="1:23" ht="14.25">
      <c r="A33" s="26"/>
      <c r="B33" s="27"/>
      <c r="C33" s="27" t="s">
        <v>282</v>
      </c>
      <c r="D33" s="28"/>
      <c r="E33" s="9"/>
      <c r="F33" s="30">
        <f>Source!AO24</f>
        <v>501.8</v>
      </c>
      <c r="G33" s="29">
        <f>Source!DG24</f>
      </c>
      <c r="H33" s="9">
        <f>Source!AV24</f>
        <v>1</v>
      </c>
      <c r="I33" s="31">
        <f>ROUND((Source!AF24*Source!AV24)*Source!I24,2)</f>
        <v>1766.34</v>
      </c>
      <c r="J33" s="9">
        <f>IF(Source!BA24&lt;&gt;0,Source!BA24,1)</f>
        <v>17.04</v>
      </c>
      <c r="K33" s="31">
        <f>Source!S24</f>
        <v>30098.37</v>
      </c>
      <c r="W33">
        <f>ROUND((Source!AF24*Source!AV24)*Source!I24,2)</f>
        <v>1766.34</v>
      </c>
    </row>
    <row r="34" spans="1:27" ht="14.25">
      <c r="A34" s="26" t="str">
        <f>Source!E25</f>
        <v>1,1</v>
      </c>
      <c r="B34" s="27">
        <f>Source!F25</f>
      </c>
      <c r="C34" s="27" t="str">
        <f>Source!G25</f>
        <v>МАССА МУСОРА</v>
      </c>
      <c r="D34" s="28" t="str">
        <f>Source!H25</f>
        <v>т</v>
      </c>
      <c r="E34" s="9">
        <f>Source!I25</f>
        <v>16.192</v>
      </c>
      <c r="F34" s="30">
        <f>Source!AK25</f>
        <v>0</v>
      </c>
      <c r="G34" s="33" t="s">
        <v>3</v>
      </c>
      <c r="H34" s="9">
        <f>Source!AW25</f>
        <v>1</v>
      </c>
      <c r="I34" s="31">
        <f>ROUND((Source!AC25*Source!AW25)*Source!I25,2)+ROUND((Source!AD25*Source!AV25)*Source!I25,2)+ROUND((Source!AF25*Source!AV25)*Source!I25,2)</f>
        <v>0</v>
      </c>
      <c r="J34" s="9">
        <f>IF(Source!BC25&lt;&gt;0,Source!BC25,1)</f>
        <v>1</v>
      </c>
      <c r="K34" s="31">
        <f>Source!O25</f>
        <v>0</v>
      </c>
      <c r="Q34">
        <f>ROUND((Source!DN25/100)*ROUND((Source!AF25*Source!AV25)*Source!I25,2),2)</f>
        <v>0</v>
      </c>
      <c r="R34">
        <f>Source!X25</f>
        <v>0</v>
      </c>
      <c r="S34">
        <f>ROUND((Source!DO25/100)*ROUND((Source!AF25*Source!AV25)*Source!I25,2),2)</f>
        <v>0</v>
      </c>
      <c r="T34">
        <f>Source!Y25</f>
        <v>0</v>
      </c>
      <c r="U34">
        <f>ROUND((175/100)*ROUND((Source!AE25*Source!AV25)*Source!I25,2),2)</f>
        <v>0</v>
      </c>
      <c r="V34">
        <f>ROUND((167/100)*ROUND(Source!CS25*Source!I25,2),2)</f>
        <v>0</v>
      </c>
      <c r="X34">
        <f>IF(Source!BI25&lt;=1,I34,0)</f>
        <v>0</v>
      </c>
      <c r="Y34">
        <f>IF(Source!BI25=2,I34,0)</f>
        <v>0</v>
      </c>
      <c r="Z34">
        <f>IF(Source!BI25=3,I34,0)</f>
        <v>0</v>
      </c>
      <c r="AA34">
        <f>IF(Source!BI25=4,I34,0)</f>
        <v>0</v>
      </c>
    </row>
    <row r="35" spans="1:11" ht="14.25">
      <c r="A35" s="26"/>
      <c r="B35" s="27"/>
      <c r="C35" s="27" t="s">
        <v>283</v>
      </c>
      <c r="D35" s="28" t="s">
        <v>284</v>
      </c>
      <c r="E35" s="9">
        <f>Source!DN24</f>
        <v>80</v>
      </c>
      <c r="F35" s="30"/>
      <c r="G35" s="29"/>
      <c r="H35" s="9"/>
      <c r="I35" s="31">
        <f>SUM(Q31:Q34)</f>
        <v>1413.07</v>
      </c>
      <c r="J35" s="9">
        <f>Source!BZ24</f>
        <v>72</v>
      </c>
      <c r="K35" s="31">
        <f>SUM(R31:R34)</f>
        <v>21670.83</v>
      </c>
    </row>
    <row r="36" spans="1:11" ht="14.25">
      <c r="A36" s="26"/>
      <c r="B36" s="27"/>
      <c r="C36" s="27" t="s">
        <v>285</v>
      </c>
      <c r="D36" s="28" t="s">
        <v>284</v>
      </c>
      <c r="E36" s="9">
        <f>Source!DO24</f>
        <v>55</v>
      </c>
      <c r="F36" s="30"/>
      <c r="G36" s="29"/>
      <c r="H36" s="9"/>
      <c r="I36" s="31">
        <f>SUM(S31:S35)</f>
        <v>971.49</v>
      </c>
      <c r="J36" s="9">
        <f>Source!CA24</f>
        <v>44</v>
      </c>
      <c r="K36" s="31">
        <f>SUM(T31:T35)</f>
        <v>13243.28</v>
      </c>
    </row>
    <row r="37" spans="1:11" ht="14.25">
      <c r="A37" s="26"/>
      <c r="B37" s="27"/>
      <c r="C37" s="27" t="s">
        <v>286</v>
      </c>
      <c r="D37" s="28" t="s">
        <v>287</v>
      </c>
      <c r="E37" s="9">
        <f>Source!AQ24</f>
        <v>49.1</v>
      </c>
      <c r="F37" s="30"/>
      <c r="G37" s="29">
        <f>Source!DI24</f>
      </c>
      <c r="H37" s="9">
        <f>Source!AV24</f>
        <v>1</v>
      </c>
      <c r="I37" s="31">
        <f>Source!U24</f>
        <v>172.832</v>
      </c>
      <c r="J37" s="9"/>
      <c r="K37" s="31"/>
    </row>
    <row r="38" spans="1:27" ht="15">
      <c r="A38" s="35"/>
      <c r="B38" s="35"/>
      <c r="C38" s="35"/>
      <c r="D38" s="35"/>
      <c r="E38" s="35"/>
      <c r="F38" s="35"/>
      <c r="G38" s="35"/>
      <c r="H38" s="72">
        <f>I33+I35+I36+SUM(I34:I34)</f>
        <v>4150.9</v>
      </c>
      <c r="I38" s="72"/>
      <c r="J38" s="72">
        <f>K33+K35+K36+SUM(K34:K34)</f>
        <v>65012.479999999996</v>
      </c>
      <c r="K38" s="72"/>
      <c r="O38" s="34">
        <f>H38</f>
        <v>4150.9</v>
      </c>
      <c r="P38" s="34">
        <f>J38</f>
        <v>65012.479999999996</v>
      </c>
      <c r="X38">
        <f>IF(Source!BI24&lt;=1,I33+I35+I36,0)</f>
        <v>4150.9</v>
      </c>
      <c r="Y38">
        <f>IF(Source!BI24=2,I33+I35+I36,0)</f>
        <v>0</v>
      </c>
      <c r="Z38">
        <f>IF(Source!BI24=3,I33+I35+I36,0)</f>
        <v>0</v>
      </c>
      <c r="AA38">
        <f>IF(Source!BI24=4,I33+I35+I36,0)</f>
        <v>0</v>
      </c>
    </row>
    <row r="39" spans="1:22" ht="28.5">
      <c r="A39" s="26" t="str">
        <f>Source!E26</f>
        <v>2</v>
      </c>
      <c r="B39" s="27" t="str">
        <f>Source!F26</f>
        <v>6.53-2-1</v>
      </c>
      <c r="C39" s="27" t="str">
        <f>Source!G26</f>
        <v>РАЗБОРКА КЛАДКИ СТЕН ИЗ КИРПИЧА ПРОСТЫХ</v>
      </c>
      <c r="D39" s="28" t="str">
        <f>Source!H26</f>
        <v>10 м3</v>
      </c>
      <c r="E39" s="9">
        <f>Source!I26</f>
        <v>0.4</v>
      </c>
      <c r="F39" s="30"/>
      <c r="G39" s="29"/>
      <c r="H39" s="9"/>
      <c r="I39" s="31"/>
      <c r="J39" s="9"/>
      <c r="K39" s="31"/>
      <c r="Q39">
        <f>ROUND((Source!DN26/100)*ROUND((Source!AF26*Source!AV26)*Source!I26,2),2)</f>
        <v>225.42</v>
      </c>
      <c r="R39">
        <f>Source!X26</f>
        <v>3457.14</v>
      </c>
      <c r="S39">
        <f>ROUND((Source!DO26/100)*ROUND((Source!AF26*Source!AV26)*Source!I26,2),2)</f>
        <v>154.98</v>
      </c>
      <c r="T39">
        <f>Source!Y26</f>
        <v>2112.7</v>
      </c>
      <c r="U39">
        <f>ROUND((175/100)*ROUND((Source!AE26*Source!AV26)*Source!I26,2),2)</f>
        <v>286.25</v>
      </c>
      <c r="V39">
        <f>ROUND((167/100)*ROUND(Source!CS26*Source!I26,2),2)</f>
        <v>4654.74</v>
      </c>
    </row>
    <row r="40" ht="12.75">
      <c r="C40" s="32" t="str">
        <f>"Объем: "&amp;Source!I26&amp;"=4/"&amp;"10"</f>
        <v>Объем: 0,4=4/10</v>
      </c>
    </row>
    <row r="41" spans="1:23" ht="14.25">
      <c r="A41" s="26"/>
      <c r="B41" s="27"/>
      <c r="C41" s="27" t="s">
        <v>282</v>
      </c>
      <c r="D41" s="28"/>
      <c r="E41" s="9"/>
      <c r="F41" s="30">
        <f>Source!AO26</f>
        <v>2134.72</v>
      </c>
      <c r="G41" s="29" t="str">
        <f>Source!DG26</f>
        <v>*0,33</v>
      </c>
      <c r="H41" s="9">
        <f>Source!AV26</f>
        <v>1</v>
      </c>
      <c r="I41" s="31">
        <f>ROUND((Source!AF26*Source!AV26)*Source!I26,2)</f>
        <v>281.78</v>
      </c>
      <c r="J41" s="9">
        <f>IF(Source!BA26&lt;&gt;0,Source!BA26,1)</f>
        <v>17.04</v>
      </c>
      <c r="K41" s="31">
        <f>Source!S26</f>
        <v>4801.58</v>
      </c>
      <c r="W41">
        <f>ROUND((Source!AF26*Source!AV26)*Source!I26,2)</f>
        <v>281.78</v>
      </c>
    </row>
    <row r="42" spans="1:11" ht="14.25">
      <c r="A42" s="26"/>
      <c r="B42" s="27"/>
      <c r="C42" s="27" t="s">
        <v>288</v>
      </c>
      <c r="D42" s="28"/>
      <c r="E42" s="9"/>
      <c r="F42" s="30">
        <f>Source!AM26</f>
        <v>1394.25</v>
      </c>
      <c r="G42" s="29">
        <f>Source!DE26</f>
      </c>
      <c r="H42" s="9">
        <f>Source!AV26</f>
        <v>1</v>
      </c>
      <c r="I42" s="31">
        <f>ROUND((Source!AD26*Source!AV26)*Source!I26,2)</f>
        <v>557.7</v>
      </c>
      <c r="J42" s="9">
        <f>IF(Source!BB26&lt;&gt;0,Source!BB26,1)</f>
        <v>7.7</v>
      </c>
      <c r="K42" s="31">
        <f>Source!Q26</f>
        <v>4294.29</v>
      </c>
    </row>
    <row r="43" spans="1:23" ht="14.25">
      <c r="A43" s="26"/>
      <c r="B43" s="27"/>
      <c r="C43" s="27" t="s">
        <v>289</v>
      </c>
      <c r="D43" s="28"/>
      <c r="E43" s="9"/>
      <c r="F43" s="30">
        <f>Source!AN26</f>
        <v>408.93</v>
      </c>
      <c r="G43" s="29">
        <f>Source!DF26</f>
      </c>
      <c r="H43" s="9">
        <f>Source!AV26</f>
        <v>1</v>
      </c>
      <c r="I43" s="36">
        <f>ROUND((Source!AE26*Source!AV26)*Source!I26,2)</f>
        <v>163.57</v>
      </c>
      <c r="J43" s="9">
        <f>IF(Source!BS26&lt;&gt;0,Source!BS26,1)</f>
        <v>17.04</v>
      </c>
      <c r="K43" s="36">
        <f>Source!R26</f>
        <v>2787.27</v>
      </c>
      <c r="W43">
        <f>ROUND((Source!AE26*Source!AV26)*Source!I26,2)</f>
        <v>163.57</v>
      </c>
    </row>
    <row r="44" spans="1:27" ht="14.25">
      <c r="A44" s="26" t="str">
        <f>Source!E27</f>
        <v>2,1</v>
      </c>
      <c r="B44" s="27">
        <f>Source!F27</f>
      </c>
      <c r="C44" s="27" t="str">
        <f>Source!G27</f>
        <v>МАССА МУСОРА</v>
      </c>
      <c r="D44" s="28" t="str">
        <f>Source!H27</f>
        <v>т</v>
      </c>
      <c r="E44" s="9">
        <f>Source!I27</f>
        <v>8.244</v>
      </c>
      <c r="F44" s="30">
        <f>Source!AK27</f>
        <v>0</v>
      </c>
      <c r="G44" s="33" t="s">
        <v>3</v>
      </c>
      <c r="H44" s="9">
        <f>Source!AW27</f>
        <v>1</v>
      </c>
      <c r="I44" s="31">
        <f>ROUND((Source!AC27*Source!AW27)*Source!I27,2)+ROUND((Source!AD27*Source!AV27)*Source!I27,2)+ROUND((Source!AF27*Source!AV27)*Source!I27,2)</f>
        <v>0</v>
      </c>
      <c r="J44" s="9">
        <f>IF(Source!BC27&lt;&gt;0,Source!BC27,1)</f>
        <v>1</v>
      </c>
      <c r="K44" s="31">
        <f>Source!O27</f>
        <v>0</v>
      </c>
      <c r="Q44">
        <f>ROUND((Source!DN27/100)*ROUND((Source!AF27*Source!AV27)*Source!I27,2),2)</f>
        <v>0</v>
      </c>
      <c r="R44">
        <f>Source!X27</f>
        <v>0</v>
      </c>
      <c r="S44">
        <f>ROUND((Source!DO27/100)*ROUND((Source!AF27*Source!AV27)*Source!I27,2),2)</f>
        <v>0</v>
      </c>
      <c r="T44">
        <f>Source!Y27</f>
        <v>0</v>
      </c>
      <c r="U44">
        <f>ROUND((175/100)*ROUND((Source!AE27*Source!AV27)*Source!I27,2),2)</f>
        <v>0</v>
      </c>
      <c r="V44">
        <f>ROUND((167/100)*ROUND(Source!CS27*Source!I27,2),2)</f>
        <v>0</v>
      </c>
      <c r="X44">
        <f>IF(Source!BI27&lt;=1,I44,0)</f>
        <v>0</v>
      </c>
      <c r="Y44">
        <f>IF(Source!BI27=2,I44,0)</f>
        <v>0</v>
      </c>
      <c r="Z44">
        <f>IF(Source!BI27=3,I44,0)</f>
        <v>0</v>
      </c>
      <c r="AA44">
        <f>IF(Source!BI27=4,I44,0)</f>
        <v>0</v>
      </c>
    </row>
    <row r="45" spans="1:11" ht="14.25">
      <c r="A45" s="26"/>
      <c r="B45" s="27"/>
      <c r="C45" s="27" t="s">
        <v>283</v>
      </c>
      <c r="D45" s="28" t="s">
        <v>284</v>
      </c>
      <c r="E45" s="9">
        <f>Source!DN26</f>
        <v>80</v>
      </c>
      <c r="F45" s="30"/>
      <c r="G45" s="29"/>
      <c r="H45" s="9"/>
      <c r="I45" s="31">
        <f>SUM(Q39:Q44)</f>
        <v>225.42</v>
      </c>
      <c r="J45" s="9">
        <f>Source!BZ26</f>
        <v>72</v>
      </c>
      <c r="K45" s="31">
        <f>SUM(R39:R44)</f>
        <v>3457.14</v>
      </c>
    </row>
    <row r="46" spans="1:11" ht="14.25">
      <c r="A46" s="26"/>
      <c r="B46" s="27"/>
      <c r="C46" s="27" t="s">
        <v>285</v>
      </c>
      <c r="D46" s="28" t="s">
        <v>284</v>
      </c>
      <c r="E46" s="9">
        <f>Source!DO26</f>
        <v>55</v>
      </c>
      <c r="F46" s="30"/>
      <c r="G46" s="29"/>
      <c r="H46" s="9"/>
      <c r="I46" s="31">
        <f>SUM(S39:S45)</f>
        <v>154.98</v>
      </c>
      <c r="J46" s="9">
        <f>Source!CA26</f>
        <v>44</v>
      </c>
      <c r="K46" s="31">
        <f>SUM(T39:T45)</f>
        <v>2112.7</v>
      </c>
    </row>
    <row r="47" spans="1:11" ht="14.25">
      <c r="A47" s="26"/>
      <c r="B47" s="27"/>
      <c r="C47" s="27" t="s">
        <v>290</v>
      </c>
      <c r="D47" s="28" t="s">
        <v>284</v>
      </c>
      <c r="E47" s="9">
        <f>175</f>
        <v>175</v>
      </c>
      <c r="F47" s="30"/>
      <c r="G47" s="29"/>
      <c r="H47" s="9"/>
      <c r="I47" s="31">
        <f>SUM(U39:U46)</f>
        <v>286.25</v>
      </c>
      <c r="J47" s="9">
        <f>167</f>
        <v>167</v>
      </c>
      <c r="K47" s="31">
        <f>SUM(V39:V46)</f>
        <v>4654.74</v>
      </c>
    </row>
    <row r="48" spans="1:11" ht="14.25">
      <c r="A48" s="26"/>
      <c r="B48" s="27"/>
      <c r="C48" s="27" t="s">
        <v>286</v>
      </c>
      <c r="D48" s="28" t="s">
        <v>287</v>
      </c>
      <c r="E48" s="9">
        <f>Source!AQ26</f>
        <v>212.41</v>
      </c>
      <c r="F48" s="30"/>
      <c r="G48" s="29" t="str">
        <f>Source!DI26</f>
        <v>*0,33</v>
      </c>
      <c r="H48" s="9">
        <f>Source!AV26</f>
        <v>1</v>
      </c>
      <c r="I48" s="31">
        <f>Source!U26</f>
        <v>28.038120000000006</v>
      </c>
      <c r="J48" s="9"/>
      <c r="K48" s="31"/>
    </row>
    <row r="49" spans="1:27" ht="15">
      <c r="A49" s="35"/>
      <c r="B49" s="35"/>
      <c r="C49" s="35"/>
      <c r="D49" s="35"/>
      <c r="E49" s="35"/>
      <c r="F49" s="35"/>
      <c r="G49" s="35"/>
      <c r="H49" s="72">
        <f>I41+I42+I45+I46+I47+SUM(I44:I44)</f>
        <v>1506.13</v>
      </c>
      <c r="I49" s="72"/>
      <c r="J49" s="72">
        <f>K41+K42+K45+K46+K47+SUM(K44:K44)</f>
        <v>19320.449999999997</v>
      </c>
      <c r="K49" s="72"/>
      <c r="O49" s="34">
        <f>H49</f>
        <v>1506.13</v>
      </c>
      <c r="P49" s="34">
        <f>J49</f>
        <v>19320.449999999997</v>
      </c>
      <c r="X49">
        <f>IF(Source!BI26&lt;=1,I41+I42+I45+I46+I47,0)</f>
        <v>1506.13</v>
      </c>
      <c r="Y49">
        <f>IF(Source!BI26=2,I41+I42+I45+I46+I47,0)</f>
        <v>0</v>
      </c>
      <c r="Z49">
        <f>IF(Source!BI26=3,I41+I42+I45+I46+I47,0)</f>
        <v>0</v>
      </c>
      <c r="AA49">
        <f>IF(Source!BI26=4,I41+I42+I45+I46+I47,0)</f>
        <v>0</v>
      </c>
    </row>
    <row r="50" spans="1:22" ht="42.75">
      <c r="A50" s="26" t="str">
        <f>Source!E28</f>
        <v>3</v>
      </c>
      <c r="B50" s="27" t="str">
        <f>Source!F28</f>
        <v>6.68-13-1</v>
      </c>
      <c r="C50" s="27" t="str">
        <f>Source!G28</f>
        <v>МЕХАНИЗИРОВАННАЯ ПОГРУЗКА СТРОИТЕЛЬНОГО МУСОРА В АВТОМОБИЛИ-САМОСВАЛЫ</v>
      </c>
      <c r="D50" s="28" t="str">
        <f>Source!H28</f>
        <v>т</v>
      </c>
      <c r="E50" s="9">
        <f>Source!I28</f>
        <v>24.436</v>
      </c>
      <c r="F50" s="30"/>
      <c r="G50" s="29"/>
      <c r="H50" s="9"/>
      <c r="I50" s="31"/>
      <c r="J50" s="9"/>
      <c r="K50" s="31"/>
      <c r="Q50">
        <f>ROUND((Source!DN28/100)*ROUND((Source!AF28*Source!AV28)*Source!I28,2),2)</f>
        <v>0</v>
      </c>
      <c r="R50">
        <f>Source!X28</f>
        <v>0</v>
      </c>
      <c r="S50">
        <f>ROUND((Source!DO28/100)*ROUND((Source!AF28*Source!AV28)*Source!I28,2),2)</f>
        <v>0</v>
      </c>
      <c r="T50">
        <f>Source!Y28</f>
        <v>0</v>
      </c>
      <c r="U50">
        <f>ROUND((175/100)*ROUND((Source!AE28*Source!AV28)*Source!I28,2),2)</f>
        <v>63.3</v>
      </c>
      <c r="V50">
        <f>ROUND((167/100)*ROUND(Source!CS28*Source!I28,2),2)</f>
        <v>1029.15</v>
      </c>
    </row>
    <row r="51" spans="1:11" ht="14.25">
      <c r="A51" s="26"/>
      <c r="B51" s="27"/>
      <c r="C51" s="27" t="s">
        <v>288</v>
      </c>
      <c r="D51" s="28"/>
      <c r="E51" s="9"/>
      <c r="F51" s="30">
        <f>Source!AM28</f>
        <v>8.86</v>
      </c>
      <c r="G51" s="29">
        <f>Source!DE28</f>
      </c>
      <c r="H51" s="9">
        <f>Source!AV28</f>
        <v>1</v>
      </c>
      <c r="I51" s="31">
        <f>ROUND((Source!AD28*Source!AV28)*Source!I28,2)</f>
        <v>216.5</v>
      </c>
      <c r="J51" s="9">
        <f>IF(Source!BB28&lt;&gt;0,Source!BB28,1)</f>
        <v>7.71</v>
      </c>
      <c r="K51" s="31">
        <f>Source!Q28</f>
        <v>1669.24</v>
      </c>
    </row>
    <row r="52" spans="1:23" ht="14.25">
      <c r="A52" s="26"/>
      <c r="B52" s="27"/>
      <c r="C52" s="27" t="s">
        <v>289</v>
      </c>
      <c r="D52" s="28"/>
      <c r="E52" s="9"/>
      <c r="F52" s="30">
        <f>Source!AN28</f>
        <v>1.48</v>
      </c>
      <c r="G52" s="29">
        <f>Source!DF28</f>
      </c>
      <c r="H52" s="9">
        <f>Source!AV28</f>
        <v>1</v>
      </c>
      <c r="I52" s="36">
        <f>ROUND((Source!AE28*Source!AV28)*Source!I28,2)</f>
        <v>36.17</v>
      </c>
      <c r="J52" s="9">
        <f>IF(Source!BS28&lt;&gt;0,Source!BS28,1)</f>
        <v>17.04</v>
      </c>
      <c r="K52" s="36">
        <f>Source!R28</f>
        <v>616.26</v>
      </c>
      <c r="W52">
        <f>ROUND((Source!AE28*Source!AV28)*Source!I28,2)</f>
        <v>36.17</v>
      </c>
    </row>
    <row r="53" spans="1:11" ht="14.25">
      <c r="A53" s="26"/>
      <c r="B53" s="27"/>
      <c r="C53" s="27" t="s">
        <v>290</v>
      </c>
      <c r="D53" s="28" t="s">
        <v>284</v>
      </c>
      <c r="E53" s="9">
        <f>175</f>
        <v>175</v>
      </c>
      <c r="F53" s="30"/>
      <c r="G53" s="29"/>
      <c r="H53" s="9"/>
      <c r="I53" s="31">
        <f>SUM(U50:U52)</f>
        <v>63.3</v>
      </c>
      <c r="J53" s="9">
        <f>167</f>
        <v>167</v>
      </c>
      <c r="K53" s="31">
        <f>SUM(V50:V52)</f>
        <v>1029.15</v>
      </c>
    </row>
    <row r="54" spans="1:27" ht="15">
      <c r="A54" s="35"/>
      <c r="B54" s="35"/>
      <c r="C54" s="35"/>
      <c r="D54" s="35"/>
      <c r="E54" s="35"/>
      <c r="F54" s="35"/>
      <c r="G54" s="35"/>
      <c r="H54" s="72">
        <f>I51+I53</f>
        <v>279.8</v>
      </c>
      <c r="I54" s="72"/>
      <c r="J54" s="72">
        <f>K51+K53</f>
        <v>2698.3900000000003</v>
      </c>
      <c r="K54" s="72"/>
      <c r="O54" s="34">
        <f>H54</f>
        <v>279.8</v>
      </c>
      <c r="P54" s="34">
        <f>J54</f>
        <v>2698.3900000000003</v>
      </c>
      <c r="X54">
        <f>IF(Source!BI28&lt;=1,I51+I53,0)</f>
        <v>279.8</v>
      </c>
      <c r="Y54">
        <f>IF(Source!BI28=2,I51+I53,0)</f>
        <v>0</v>
      </c>
      <c r="Z54">
        <f>IF(Source!BI28=3,I51+I53,0)</f>
        <v>0</v>
      </c>
      <c r="AA54">
        <f>IF(Source!BI28=4,I51+I53,0)</f>
        <v>0</v>
      </c>
    </row>
    <row r="55" spans="1:22" ht="71.25">
      <c r="A55" s="26" t="str">
        <f>Source!E29</f>
        <v>4</v>
      </c>
      <c r="B55" s="27" t="str">
        <f>Source!F29</f>
        <v>15.1-29-5</v>
      </c>
      <c r="C55" s="27" t="str">
        <f>Source!G29</f>
        <v>ПЕРЕВОЗКА СТРОИТЕЛЬНОГО МУСОРА НА РАССТОЯНИЕ 29 КМ АВТОСАМОСВАЛАМИ ГРУЗОПОДЪЕМНОСТЬЮ ДО 16 Т, ПЕРЕВОЗКА ДО 29 КМ</v>
      </c>
      <c r="D55" s="28" t="str">
        <f>Source!H29</f>
        <v>т</v>
      </c>
      <c r="E55" s="9">
        <f>Source!I29</f>
        <v>24.436</v>
      </c>
      <c r="F55" s="30"/>
      <c r="G55" s="29"/>
      <c r="H55" s="9"/>
      <c r="I55" s="31"/>
      <c r="J55" s="9"/>
      <c r="K55" s="31"/>
      <c r="Q55">
        <f>ROUND((Source!DN29/100)*ROUND((Source!AF29*Source!AV29)*Source!I29,2),2)</f>
        <v>0</v>
      </c>
      <c r="R55">
        <f>Source!X29</f>
        <v>0</v>
      </c>
      <c r="S55">
        <f>ROUND((Source!DO29/100)*ROUND((Source!AF29*Source!AV29)*Source!I29,2),2)</f>
        <v>0</v>
      </c>
      <c r="T55">
        <f>Source!Y29</f>
        <v>0</v>
      </c>
      <c r="U55">
        <f>ROUND((175/100)*ROUND((Source!AE29*Source!AV29)*Source!I29,2),2)</f>
        <v>0</v>
      </c>
      <c r="V55">
        <f>ROUND((167/100)*ROUND(Source!CS29*Source!I29,2),2)</f>
        <v>0</v>
      </c>
    </row>
    <row r="56" spans="1:11" ht="14.25">
      <c r="A56" s="26"/>
      <c r="B56" s="27"/>
      <c r="C56" s="27" t="s">
        <v>288</v>
      </c>
      <c r="D56" s="28"/>
      <c r="E56" s="9"/>
      <c r="F56" s="30">
        <f>Source!AM29</f>
        <v>60.16</v>
      </c>
      <c r="G56" s="29">
        <f>Source!DE29</f>
      </c>
      <c r="H56" s="9">
        <f>Source!AV29</f>
        <v>1</v>
      </c>
      <c r="I56" s="31">
        <f>ROUND((Source!AD29*Source!AV29)*Source!I29,2)</f>
        <v>1470.07</v>
      </c>
      <c r="J56" s="9">
        <f>IF(Source!BB29&lt;&gt;0,Source!BB29,1)</f>
        <v>5.56</v>
      </c>
      <c r="K56" s="31">
        <f>Source!Q29</f>
        <v>8173.59</v>
      </c>
    </row>
    <row r="57" spans="1:27" ht="15">
      <c r="A57" s="35"/>
      <c r="B57" s="35"/>
      <c r="C57" s="35"/>
      <c r="D57" s="35"/>
      <c r="E57" s="35"/>
      <c r="F57" s="35"/>
      <c r="G57" s="35"/>
      <c r="H57" s="72">
        <f>I56</f>
        <v>1470.07</v>
      </c>
      <c r="I57" s="72"/>
      <c r="J57" s="72">
        <f>K56</f>
        <v>8173.59</v>
      </c>
      <c r="K57" s="72"/>
      <c r="O57" s="34">
        <f>H57</f>
        <v>1470.07</v>
      </c>
      <c r="P57" s="34">
        <f>J57</f>
        <v>8173.59</v>
      </c>
      <c r="X57">
        <f>IF(Source!BI29&lt;=1,I56,0)</f>
        <v>0</v>
      </c>
      <c r="Y57">
        <f>IF(Source!BI29=2,I56,0)</f>
        <v>0</v>
      </c>
      <c r="Z57">
        <f>IF(Source!BI29=3,I56,0)</f>
        <v>0</v>
      </c>
      <c r="AA57">
        <f>IF(Source!BI29=4,I56,0)</f>
        <v>1470.07</v>
      </c>
    </row>
    <row r="58" spans="1:22" ht="28.5">
      <c r="A58" s="26" t="str">
        <f>Source!E30</f>
        <v>5</v>
      </c>
      <c r="B58" s="27" t="str">
        <f>Source!F30</f>
        <v>3.6-1-1</v>
      </c>
      <c r="C58" s="27" t="str">
        <f>Source!G30</f>
        <v>УСТРОЙСТВО БЕТОННОЙ ПОДГОТОВКИ</v>
      </c>
      <c r="D58" s="28" t="str">
        <f>Source!H30</f>
        <v>100 м3</v>
      </c>
      <c r="E58" s="9">
        <f>Source!I30</f>
        <v>0.01</v>
      </c>
      <c r="F58" s="30"/>
      <c r="G58" s="29"/>
      <c r="H58" s="9"/>
      <c r="I58" s="31"/>
      <c r="J58" s="9"/>
      <c r="K58" s="31"/>
      <c r="Q58">
        <f>ROUND((Source!DN30/100)*ROUND((Source!AF30*Source!AV30)*Source!I30,2),2)</f>
        <v>13.49</v>
      </c>
      <c r="R58">
        <f>Source!X30</f>
        <v>194.67</v>
      </c>
      <c r="S58">
        <f>ROUND((Source!DO30/100)*ROUND((Source!AF30*Source!AV30)*Source!I30,2),2)</f>
        <v>11.11</v>
      </c>
      <c r="T58">
        <f>Source!Y30</f>
        <v>118.96</v>
      </c>
      <c r="U58">
        <f>ROUND((175/100)*ROUND((Source!AE30*Source!AV30)*Source!I30,2),2)</f>
        <v>0.05</v>
      </c>
      <c r="V58">
        <f>ROUND((167/100)*ROUND(Source!CS30*Source!I30,2),2)</f>
        <v>0.92</v>
      </c>
    </row>
    <row r="59" ht="12.75">
      <c r="C59" s="32" t="str">
        <f>"Объем: "&amp;Source!I30&amp;"=1/"&amp;"100"</f>
        <v>Объем: 0,01=1/100</v>
      </c>
    </row>
    <row r="60" spans="1:23" ht="14.25">
      <c r="A60" s="26"/>
      <c r="B60" s="27"/>
      <c r="C60" s="27" t="s">
        <v>282</v>
      </c>
      <c r="D60" s="28"/>
      <c r="E60" s="9"/>
      <c r="F60" s="30">
        <f>Source!AO30</f>
        <v>1379.7</v>
      </c>
      <c r="G60" s="29" t="str">
        <f>Source!DG30</f>
        <v>)*1,15</v>
      </c>
      <c r="H60" s="9">
        <f>Source!AV30</f>
        <v>1</v>
      </c>
      <c r="I60" s="31">
        <f>ROUND((Source!AF30*Source!AV30)*Source!I30,2)</f>
        <v>15.87</v>
      </c>
      <c r="J60" s="9">
        <f>IF(Source!BA30&lt;&gt;0,Source!BA30,1)</f>
        <v>17.04</v>
      </c>
      <c r="K60" s="31">
        <f>Source!S30</f>
        <v>270.37</v>
      </c>
      <c r="W60">
        <f>ROUND((Source!AF30*Source!AV30)*Source!I30,2)</f>
        <v>15.87</v>
      </c>
    </row>
    <row r="61" spans="1:11" ht="14.25">
      <c r="A61" s="26"/>
      <c r="B61" s="27"/>
      <c r="C61" s="27" t="s">
        <v>288</v>
      </c>
      <c r="D61" s="28"/>
      <c r="E61" s="9"/>
      <c r="F61" s="30">
        <f>Source!AM30</f>
        <v>19.71</v>
      </c>
      <c r="G61" s="29" t="str">
        <f>Source!DE30</f>
        <v>)*1,25</v>
      </c>
      <c r="H61" s="9">
        <f>Source!AV30</f>
        <v>1</v>
      </c>
      <c r="I61" s="31">
        <f>ROUND((Source!AD30*Source!AV30)*Source!I30,2)</f>
        <v>0.25</v>
      </c>
      <c r="J61" s="9">
        <f>IF(Source!BB30&lt;&gt;0,Source!BB30,1)</f>
        <v>5.31</v>
      </c>
      <c r="K61" s="31">
        <f>Source!Q30</f>
        <v>1.31</v>
      </c>
    </row>
    <row r="62" spans="1:23" ht="14.25">
      <c r="A62" s="26"/>
      <c r="B62" s="27"/>
      <c r="C62" s="27" t="s">
        <v>289</v>
      </c>
      <c r="D62" s="28"/>
      <c r="E62" s="9"/>
      <c r="F62" s="30">
        <f>Source!AN30</f>
        <v>2.6</v>
      </c>
      <c r="G62" s="29" t="str">
        <f>Source!DF30</f>
        <v>)*1,25</v>
      </c>
      <c r="H62" s="9">
        <f>Source!AV30</f>
        <v>1</v>
      </c>
      <c r="I62" s="36">
        <f>ROUND((Source!AE30*Source!AV30)*Source!I30,2)</f>
        <v>0.03</v>
      </c>
      <c r="J62" s="9">
        <f>IF(Source!BS30&lt;&gt;0,Source!BS30,1)</f>
        <v>17.04</v>
      </c>
      <c r="K62" s="36">
        <f>Source!R30</f>
        <v>0.55</v>
      </c>
      <c r="W62">
        <f>ROUND((Source!AE30*Source!AV30)*Source!I30,2)</f>
        <v>0.03</v>
      </c>
    </row>
    <row r="63" spans="1:11" ht="14.25">
      <c r="A63" s="26"/>
      <c r="B63" s="27"/>
      <c r="C63" s="27" t="s">
        <v>291</v>
      </c>
      <c r="D63" s="28"/>
      <c r="E63" s="9"/>
      <c r="F63" s="30">
        <f>Source!AL30</f>
        <v>1859.87</v>
      </c>
      <c r="G63" s="29">
        <f>Source!DD30</f>
      </c>
      <c r="H63" s="9">
        <f>Source!AW30</f>
        <v>1</v>
      </c>
      <c r="I63" s="31">
        <f>ROUND((Source!AC30*Source!AW30)*Source!I30,2)</f>
        <v>18.6</v>
      </c>
      <c r="J63" s="9">
        <f>IF(Source!BC30&lt;&gt;0,Source!BC30,1)</f>
        <v>3.81</v>
      </c>
      <c r="K63" s="31">
        <f>Source!P30</f>
        <v>70.86</v>
      </c>
    </row>
    <row r="64" spans="1:27" ht="71.25">
      <c r="A64" s="26" t="str">
        <f>Source!E31</f>
        <v>5,1</v>
      </c>
      <c r="B64" s="27" t="str">
        <f>Source!F31</f>
        <v>1.3-1-38</v>
      </c>
      <c r="C64" s="27" t="str">
        <f>Source!G31</f>
        <v>СМЕСИ БЕТОННЫЕ, БСГ, ТЯЖЕЛОГО БЕТОНА НА ГРАНИТНОМ ЩЕБНЕ, КЛАСС ПРОЧНОСТИ: В15 (М200); П3, ФРАКЦИЯ 5-20, F50-100, W0-2</v>
      </c>
      <c r="D64" s="28" t="str">
        <f>Source!H31</f>
        <v>м3</v>
      </c>
      <c r="E64" s="9">
        <f>Source!I31</f>
        <v>1.02</v>
      </c>
      <c r="F64" s="30">
        <f>Source!AK31</f>
        <v>704.89</v>
      </c>
      <c r="G64" s="33" t="s">
        <v>3</v>
      </c>
      <c r="H64" s="9">
        <f>Source!AW31</f>
        <v>1</v>
      </c>
      <c r="I64" s="31">
        <f>ROUND((Source!AC31*Source!AW31)*Source!I31,2)+ROUND((Source!AD31*Source!AV31)*Source!I31,2)+ROUND((Source!AF31*Source!AV31)*Source!I31,2)</f>
        <v>718.99</v>
      </c>
      <c r="J64" s="9">
        <f>IF(Source!BC31&lt;&gt;0,Source!BC31,1)</f>
        <v>4.55</v>
      </c>
      <c r="K64" s="31">
        <f>Source!O31</f>
        <v>3271.39</v>
      </c>
      <c r="Q64">
        <f>ROUND((Source!DN31/100)*ROUND((Source!AF31*Source!AV31)*Source!I31,2),2)</f>
        <v>0</v>
      </c>
      <c r="R64">
        <f>Source!X31</f>
        <v>0</v>
      </c>
      <c r="S64">
        <f>ROUND((Source!DO31/100)*ROUND((Source!AF31*Source!AV31)*Source!I31,2),2)</f>
        <v>0</v>
      </c>
      <c r="T64">
        <f>Source!Y31</f>
        <v>0</v>
      </c>
      <c r="U64">
        <f>ROUND((175/100)*ROUND((Source!AE31*Source!AV31)*Source!I31,2),2)</f>
        <v>0</v>
      </c>
      <c r="V64">
        <f>ROUND((167/100)*ROUND(Source!CS31*Source!I31,2),2)</f>
        <v>0</v>
      </c>
      <c r="X64">
        <f>IF(Source!BI31&lt;=1,I64,0)</f>
        <v>718.99</v>
      </c>
      <c r="Y64">
        <f>IF(Source!BI31=2,I64,0)</f>
        <v>0</v>
      </c>
      <c r="Z64">
        <f>IF(Source!BI31=3,I64,0)</f>
        <v>0</v>
      </c>
      <c r="AA64">
        <f>IF(Source!BI31=4,I64,0)</f>
        <v>0</v>
      </c>
    </row>
    <row r="65" spans="1:11" ht="14.25">
      <c r="A65" s="26"/>
      <c r="B65" s="27"/>
      <c r="C65" s="27" t="s">
        <v>283</v>
      </c>
      <c r="D65" s="28" t="s">
        <v>284</v>
      </c>
      <c r="E65" s="9">
        <f>Source!DN30</f>
        <v>85</v>
      </c>
      <c r="F65" s="30"/>
      <c r="G65" s="29"/>
      <c r="H65" s="9"/>
      <c r="I65" s="31">
        <f>SUM(Q58:Q64)</f>
        <v>13.49</v>
      </c>
      <c r="J65" s="9">
        <f>Source!BZ30</f>
        <v>72</v>
      </c>
      <c r="K65" s="31">
        <f>SUM(R58:R64)</f>
        <v>194.67</v>
      </c>
    </row>
    <row r="66" spans="1:11" ht="14.25">
      <c r="A66" s="26"/>
      <c r="B66" s="27"/>
      <c r="C66" s="27" t="s">
        <v>285</v>
      </c>
      <c r="D66" s="28" t="s">
        <v>284</v>
      </c>
      <c r="E66" s="9">
        <f>Source!DO30</f>
        <v>70</v>
      </c>
      <c r="F66" s="30"/>
      <c r="G66" s="29"/>
      <c r="H66" s="9"/>
      <c r="I66" s="31">
        <f>SUM(S58:S65)</f>
        <v>11.11</v>
      </c>
      <c r="J66" s="9">
        <f>Source!CA30</f>
        <v>44</v>
      </c>
      <c r="K66" s="31">
        <f>SUM(T58:T65)</f>
        <v>118.96</v>
      </c>
    </row>
    <row r="67" spans="1:11" ht="14.25">
      <c r="A67" s="26"/>
      <c r="B67" s="27"/>
      <c r="C67" s="27" t="s">
        <v>290</v>
      </c>
      <c r="D67" s="28" t="s">
        <v>284</v>
      </c>
      <c r="E67" s="9">
        <f>175</f>
        <v>175</v>
      </c>
      <c r="F67" s="30"/>
      <c r="G67" s="29"/>
      <c r="H67" s="9"/>
      <c r="I67" s="31">
        <f>SUM(U58:U66)</f>
        <v>0.05</v>
      </c>
      <c r="J67" s="9">
        <f>167</f>
        <v>167</v>
      </c>
      <c r="K67" s="31">
        <f>SUM(V58:V66)</f>
        <v>0.92</v>
      </c>
    </row>
    <row r="68" spans="1:11" ht="14.25">
      <c r="A68" s="26"/>
      <c r="B68" s="27"/>
      <c r="C68" s="27" t="s">
        <v>286</v>
      </c>
      <c r="D68" s="28" t="s">
        <v>287</v>
      </c>
      <c r="E68" s="9">
        <f>Source!AQ30</f>
        <v>135</v>
      </c>
      <c r="F68" s="30"/>
      <c r="G68" s="29" t="str">
        <f>Source!DI30</f>
        <v>)*1,15</v>
      </c>
      <c r="H68" s="9">
        <f>Source!AV30</f>
        <v>1</v>
      </c>
      <c r="I68" s="31">
        <f>Source!U30</f>
        <v>1.5525</v>
      </c>
      <c r="J68" s="9"/>
      <c r="K68" s="31"/>
    </row>
    <row r="69" spans="1:27" ht="15">
      <c r="A69" s="35"/>
      <c r="B69" s="35"/>
      <c r="C69" s="35"/>
      <c r="D69" s="35"/>
      <c r="E69" s="35"/>
      <c r="F69" s="35"/>
      <c r="G69" s="35"/>
      <c r="H69" s="72">
        <f>I60+I61+I63+I65+I66+I67+SUM(I64:I64)</f>
        <v>778.36</v>
      </c>
      <c r="I69" s="72"/>
      <c r="J69" s="72">
        <f>K60+K61+K63+K65+K66+K67+SUM(K64:K64)</f>
        <v>3928.48</v>
      </c>
      <c r="K69" s="72"/>
      <c r="O69" s="34">
        <f>H69</f>
        <v>778.36</v>
      </c>
      <c r="P69" s="34">
        <f>J69</f>
        <v>3928.48</v>
      </c>
      <c r="X69">
        <f>IF(Source!BI30&lt;=1,I60+I61+I63+I65+I66+I67,0)</f>
        <v>59.37</v>
      </c>
      <c r="Y69">
        <f>IF(Source!BI30=2,I60+I61+I63+I65+I66+I67,0)</f>
        <v>0</v>
      </c>
      <c r="Z69">
        <f>IF(Source!BI30=3,I60+I61+I63+I65+I66+I67,0)</f>
        <v>0</v>
      </c>
      <c r="AA69">
        <f>IF(Source!BI30=4,I60+I61+I63+I65+I66+I67,0)</f>
        <v>0</v>
      </c>
    </row>
    <row r="70" spans="1:22" ht="28.5">
      <c r="A70" s="26" t="str">
        <f>Source!E34</f>
        <v>7</v>
      </c>
      <c r="B70" s="27" t="str">
        <f>Source!F34</f>
        <v>3.8-3-1</v>
      </c>
      <c r="C70" s="27" t="str">
        <f>Source!G34</f>
        <v>КЛАДКА СТЕН НАРУЖНЫХ ПРОСТЫХ ПРИ ВЫСОТЕ ЭТАЖА ДО 4 М</v>
      </c>
      <c r="D70" s="28" t="str">
        <f>Source!H34</f>
        <v>м3</v>
      </c>
      <c r="E70" s="9">
        <f>Source!I34</f>
        <v>4</v>
      </c>
      <c r="F70" s="30"/>
      <c r="G70" s="29"/>
      <c r="H70" s="9"/>
      <c r="I70" s="31"/>
      <c r="J70" s="9"/>
      <c r="K70" s="31"/>
      <c r="Q70">
        <f>ROUND((Source!DN34/100)*ROUND((Source!AF34*Source!AV34)*Source!I34,2),2)</f>
        <v>206.95</v>
      </c>
      <c r="R70">
        <f>Source!X34</f>
        <v>2983.98</v>
      </c>
      <c r="S70">
        <f>ROUND((Source!DO34/100)*ROUND((Source!AF34*Source!AV34)*Source!I34,2),2)</f>
        <v>159.19</v>
      </c>
      <c r="T70">
        <f>Source!Y34</f>
        <v>1705.13</v>
      </c>
      <c r="U70">
        <f>ROUND((175/100)*ROUND((Source!AE34*Source!AV34)*Source!I34,2),2)</f>
        <v>0</v>
      </c>
      <c r="V70">
        <f>ROUND((167/100)*ROUND(Source!CS34*Source!I34,2),2)</f>
        <v>0</v>
      </c>
    </row>
    <row r="71" spans="1:23" ht="14.25">
      <c r="A71" s="26"/>
      <c r="B71" s="27"/>
      <c r="C71" s="27" t="s">
        <v>282</v>
      </c>
      <c r="D71" s="28"/>
      <c r="E71" s="9"/>
      <c r="F71" s="30">
        <f>Source!AO34</f>
        <v>49.44</v>
      </c>
      <c r="G71" s="29" t="str">
        <f>Source!DG34</f>
        <v>)*1,15</v>
      </c>
      <c r="H71" s="9">
        <f>Source!AV34</f>
        <v>1</v>
      </c>
      <c r="I71" s="31">
        <f>ROUND((Source!AF34*Source!AV34)*Source!I34,2)</f>
        <v>227.42</v>
      </c>
      <c r="J71" s="9">
        <f>IF(Source!BA34&lt;&gt;0,Source!BA34,1)</f>
        <v>17.04</v>
      </c>
      <c r="K71" s="31">
        <f>Source!S34</f>
        <v>3875.3</v>
      </c>
      <c r="W71">
        <f>ROUND((Source!AF34*Source!AV34)*Source!I34,2)</f>
        <v>227.42</v>
      </c>
    </row>
    <row r="72" spans="1:11" ht="14.25">
      <c r="A72" s="26"/>
      <c r="B72" s="27"/>
      <c r="C72" s="27" t="s">
        <v>291</v>
      </c>
      <c r="D72" s="28"/>
      <c r="E72" s="9"/>
      <c r="F72" s="30">
        <f>Source!AL34</f>
        <v>4.35</v>
      </c>
      <c r="G72" s="29">
        <f>Source!DD34</f>
      </c>
      <c r="H72" s="9">
        <f>Source!AW34</f>
        <v>1</v>
      </c>
      <c r="I72" s="31">
        <f>ROUND((Source!AC34*Source!AW34)*Source!I34,2)</f>
        <v>17.4</v>
      </c>
      <c r="J72" s="9">
        <f>IF(Source!BC34&lt;&gt;0,Source!BC34,1)</f>
        <v>3.48</v>
      </c>
      <c r="K72" s="31">
        <f>Source!P34</f>
        <v>60.55</v>
      </c>
    </row>
    <row r="73" spans="1:27" ht="42.75">
      <c r="A73" s="26" t="str">
        <f>Source!E35</f>
        <v>7,1</v>
      </c>
      <c r="B73" s="27" t="str">
        <f>Source!F35</f>
        <v>1.1-1-354</v>
      </c>
      <c r="C73" s="27" t="str">
        <f>Source!G35</f>
        <v>КИРПИЧ КЕРАМИЧЕСКИЙ ОБЫКНОВЕННЫЙ, РАЗМЕР 250Х120Х65 ММ, МАРКА СРЕДНЯЯ</v>
      </c>
      <c r="D73" s="28" t="str">
        <f>Source!H35</f>
        <v>1000 шт.</v>
      </c>
      <c r="E73" s="9">
        <f>Source!I35</f>
        <v>1.52</v>
      </c>
      <c r="F73" s="30">
        <f>Source!AK35</f>
        <v>1043.55</v>
      </c>
      <c r="G73" s="33" t="s">
        <v>3</v>
      </c>
      <c r="H73" s="9">
        <f>Source!AW35</f>
        <v>1</v>
      </c>
      <c r="I73" s="31">
        <f>ROUND((Source!AC35*Source!AW35)*Source!I35,2)+ROUND((Source!AD35*Source!AV35)*Source!I35,2)+ROUND((Source!AF35*Source!AV35)*Source!I35,2)</f>
        <v>1586.2</v>
      </c>
      <c r="J73" s="9">
        <f>IF(Source!BC35&lt;&gt;0,Source!BC35,1)</f>
        <v>9.29</v>
      </c>
      <c r="K73" s="31">
        <f>Source!O35</f>
        <v>14735.76</v>
      </c>
      <c r="Q73">
        <f>ROUND((Source!DN35/100)*ROUND((Source!AF35*Source!AV35)*Source!I35,2),2)</f>
        <v>0</v>
      </c>
      <c r="R73">
        <f>Source!X35</f>
        <v>0</v>
      </c>
      <c r="S73">
        <f>ROUND((Source!DO35/100)*ROUND((Source!AF35*Source!AV35)*Source!I35,2),2)</f>
        <v>0</v>
      </c>
      <c r="T73">
        <f>Source!Y35</f>
        <v>0</v>
      </c>
      <c r="U73">
        <f>ROUND((175/100)*ROUND((Source!AE35*Source!AV35)*Source!I35,2),2)</f>
        <v>0</v>
      </c>
      <c r="V73">
        <f>ROUND((167/100)*ROUND(Source!CS35*Source!I35,2),2)</f>
        <v>0</v>
      </c>
      <c r="X73">
        <f>IF(Source!BI35&lt;=1,I73,0)</f>
        <v>1586.2</v>
      </c>
      <c r="Y73">
        <f>IF(Source!BI35=2,I73,0)</f>
        <v>0</v>
      </c>
      <c r="Z73">
        <f>IF(Source!BI35=3,I73,0)</f>
        <v>0</v>
      </c>
      <c r="AA73">
        <f>IF(Source!BI35=4,I73,0)</f>
        <v>0</v>
      </c>
    </row>
    <row r="74" spans="1:27" ht="28.5">
      <c r="A74" s="26" t="str">
        <f>Source!E36</f>
        <v>7,2</v>
      </c>
      <c r="B74" s="27" t="str">
        <f>Source!F36</f>
        <v>1.3-2-14</v>
      </c>
      <c r="C74" s="27" t="str">
        <f>Source!G36</f>
        <v>РАСТВОРЫ ЦЕМЕНТНО-ИЗВЕСТКОВЫЕ, МАРКА 100</v>
      </c>
      <c r="D74" s="28" t="str">
        <f>Source!H36</f>
        <v>м3</v>
      </c>
      <c r="E74" s="9">
        <f>Source!I36</f>
        <v>0.96</v>
      </c>
      <c r="F74" s="30">
        <f>Source!AK36</f>
        <v>477.64</v>
      </c>
      <c r="G74" s="33" t="s">
        <v>3</v>
      </c>
      <c r="H74" s="9">
        <f>Source!AW36</f>
        <v>1</v>
      </c>
      <c r="I74" s="31">
        <f>ROUND((Source!AC36*Source!AW36)*Source!I36,2)+ROUND((Source!AD36*Source!AV36)*Source!I36,2)+ROUND((Source!AF36*Source!AV36)*Source!I36,2)</f>
        <v>458.53</v>
      </c>
      <c r="J74" s="9">
        <f>IF(Source!BC36&lt;&gt;0,Source!BC36,1)</f>
        <v>6.91</v>
      </c>
      <c r="K74" s="31">
        <f>Source!O36</f>
        <v>3168.47</v>
      </c>
      <c r="Q74">
        <f>ROUND((Source!DN36/100)*ROUND((Source!AF36*Source!AV36)*Source!I36,2),2)</f>
        <v>0</v>
      </c>
      <c r="R74">
        <f>Source!X36</f>
        <v>0</v>
      </c>
      <c r="S74">
        <f>ROUND((Source!DO36/100)*ROUND((Source!AF36*Source!AV36)*Source!I36,2),2)</f>
        <v>0</v>
      </c>
      <c r="T74">
        <f>Source!Y36</f>
        <v>0</v>
      </c>
      <c r="U74">
        <f>ROUND((175/100)*ROUND((Source!AE36*Source!AV36)*Source!I36,2),2)</f>
        <v>0</v>
      </c>
      <c r="V74">
        <f>ROUND((167/100)*ROUND(Source!CS36*Source!I36,2),2)</f>
        <v>0</v>
      </c>
      <c r="X74">
        <f>IF(Source!BI36&lt;=1,I74,0)</f>
        <v>458.53</v>
      </c>
      <c r="Y74">
        <f>IF(Source!BI36=2,I74,0)</f>
        <v>0</v>
      </c>
      <c r="Z74">
        <f>IF(Source!BI36=3,I74,0)</f>
        <v>0</v>
      </c>
      <c r="AA74">
        <f>IF(Source!BI36=4,I74,0)</f>
        <v>0</v>
      </c>
    </row>
    <row r="75" spans="1:11" ht="14.25">
      <c r="A75" s="26"/>
      <c r="B75" s="27"/>
      <c r="C75" s="27" t="s">
        <v>283</v>
      </c>
      <c r="D75" s="28" t="s">
        <v>284</v>
      </c>
      <c r="E75" s="9">
        <f>Source!DN34</f>
        <v>91</v>
      </c>
      <c r="F75" s="30"/>
      <c r="G75" s="29"/>
      <c r="H75" s="9"/>
      <c r="I75" s="31">
        <f>SUM(Q70:Q74)</f>
        <v>206.95</v>
      </c>
      <c r="J75" s="9">
        <f>Source!BZ34</f>
        <v>77</v>
      </c>
      <c r="K75" s="31">
        <f>SUM(R70:R74)</f>
        <v>2983.98</v>
      </c>
    </row>
    <row r="76" spans="1:11" ht="14.25">
      <c r="A76" s="26"/>
      <c r="B76" s="27"/>
      <c r="C76" s="27" t="s">
        <v>285</v>
      </c>
      <c r="D76" s="28" t="s">
        <v>284</v>
      </c>
      <c r="E76" s="9">
        <f>Source!DO34</f>
        <v>70</v>
      </c>
      <c r="F76" s="30"/>
      <c r="G76" s="29"/>
      <c r="H76" s="9"/>
      <c r="I76" s="31">
        <f>SUM(S70:S75)</f>
        <v>159.19</v>
      </c>
      <c r="J76" s="9">
        <f>Source!CA34</f>
        <v>44</v>
      </c>
      <c r="K76" s="31">
        <f>SUM(T70:T75)</f>
        <v>1705.13</v>
      </c>
    </row>
    <row r="77" spans="1:11" ht="14.25">
      <c r="A77" s="26"/>
      <c r="B77" s="27"/>
      <c r="C77" s="27" t="s">
        <v>286</v>
      </c>
      <c r="D77" s="28" t="s">
        <v>287</v>
      </c>
      <c r="E77" s="9">
        <f>Source!AQ34</f>
        <v>4.54</v>
      </c>
      <c r="F77" s="30"/>
      <c r="G77" s="29" t="str">
        <f>Source!DI34</f>
        <v>)*1,15</v>
      </c>
      <c r="H77" s="9">
        <f>Source!AV34</f>
        <v>1</v>
      </c>
      <c r="I77" s="31">
        <f>Source!U34</f>
        <v>20.883999999999997</v>
      </c>
      <c r="J77" s="9"/>
      <c r="K77" s="31"/>
    </row>
    <row r="78" spans="1:27" ht="15">
      <c r="A78" s="35"/>
      <c r="B78" s="35"/>
      <c r="C78" s="35"/>
      <c r="D78" s="35"/>
      <c r="E78" s="35"/>
      <c r="F78" s="35"/>
      <c r="G78" s="35"/>
      <c r="H78" s="72">
        <f>I71+I72+I75+I76+SUM(I73:I74)</f>
        <v>2655.69</v>
      </c>
      <c r="I78" s="72"/>
      <c r="J78" s="72">
        <f>K71+K72+K75+K76+SUM(K73:K74)</f>
        <v>26529.19</v>
      </c>
      <c r="K78" s="72"/>
      <c r="O78" s="34">
        <f>H78</f>
        <v>2655.69</v>
      </c>
      <c r="P78" s="34">
        <f>J78</f>
        <v>26529.19</v>
      </c>
      <c r="X78">
        <f>IF(Source!BI34&lt;=1,I71+I72+I75+I76,0)</f>
        <v>610.96</v>
      </c>
      <c r="Y78">
        <f>IF(Source!BI34=2,I71+I72+I75+I76,0)</f>
        <v>0</v>
      </c>
      <c r="Z78">
        <f>IF(Source!BI34=3,I71+I72+I75+I76,0)</f>
        <v>0</v>
      </c>
      <c r="AA78">
        <f>IF(Source!BI34=4,I71+I72+I75+I76,0)</f>
        <v>0</v>
      </c>
    </row>
    <row r="79" spans="1:22" ht="57">
      <c r="A79" s="26" t="str">
        <f>Source!E37</f>
        <v>8</v>
      </c>
      <c r="B79" s="27" t="str">
        <f>Source!F37</f>
        <v>3.15-64-1</v>
      </c>
      <c r="C79" s="27" t="str">
        <f>Source!G37</f>
        <v>УЛУЧШЕННАЯ ШТУКАТУРКА ПО СЕТКЕ СТЕН БЕЗ УСТРОЙСТВА КАРКАСА ЦЕМЕНТНО-ИЗВЕСТКОВЫМ РАСТВОРОМ</v>
      </c>
      <c r="D79" s="28" t="str">
        <f>Source!H37</f>
        <v>100 м2</v>
      </c>
      <c r="E79" s="9">
        <f>Source!I37</f>
        <v>3.52</v>
      </c>
      <c r="F79" s="30"/>
      <c r="G79" s="29"/>
      <c r="H79" s="9"/>
      <c r="I79" s="31"/>
      <c r="J79" s="9"/>
      <c r="K79" s="31"/>
      <c r="Q79">
        <f>ROUND((Source!DN37/100)*ROUND((Source!AF37*Source!AV37)*Source!I37,2),2)</f>
        <v>6250.64</v>
      </c>
      <c r="R79">
        <f>Source!X37</f>
        <v>90534.25</v>
      </c>
      <c r="S79">
        <f>ROUND((Source!DO37/100)*ROUND((Source!AF37*Source!AV37)*Source!I37,2),2)</f>
        <v>4000.41</v>
      </c>
      <c r="T79">
        <f>Source!Y37</f>
        <v>46864.79</v>
      </c>
      <c r="U79">
        <f>ROUND((175/100)*ROUND((Source!AE37*Source!AV37)*Source!I37,2),2)</f>
        <v>465.08</v>
      </c>
      <c r="V79">
        <f>ROUND((167/100)*ROUND(Source!CS37*Source!I37,2),2)</f>
        <v>7562.68</v>
      </c>
    </row>
    <row r="80" ht="12.75">
      <c r="C80" s="32" t="str">
        <f>"Объем: "&amp;Source!I37&amp;"=352/"&amp;"100"</f>
        <v>Объем: 3,52=352/100</v>
      </c>
    </row>
    <row r="81" spans="1:23" ht="14.25">
      <c r="A81" s="26"/>
      <c r="B81" s="27"/>
      <c r="C81" s="27" t="s">
        <v>282</v>
      </c>
      <c r="D81" s="28"/>
      <c r="E81" s="9"/>
      <c r="F81" s="30">
        <f>Source!AO37</f>
        <v>1544.13</v>
      </c>
      <c r="G81" s="29" t="str">
        <f>Source!DG37</f>
        <v>)*1,15</v>
      </c>
      <c r="H81" s="9">
        <f>Source!AV37</f>
        <v>1</v>
      </c>
      <c r="I81" s="31">
        <f>ROUND((Source!AF37*Source!AV37)*Source!I37,2)</f>
        <v>6250.64</v>
      </c>
      <c r="J81" s="9">
        <f>IF(Source!BA37&lt;&gt;0,Source!BA37,1)</f>
        <v>17.04</v>
      </c>
      <c r="K81" s="31">
        <f>Source!S37</f>
        <v>106510.88</v>
      </c>
      <c r="W81">
        <f>ROUND((Source!AF37*Source!AV37)*Source!I37,2)</f>
        <v>6250.64</v>
      </c>
    </row>
    <row r="82" spans="1:11" ht="14.25">
      <c r="A82" s="26"/>
      <c r="B82" s="27"/>
      <c r="C82" s="27" t="s">
        <v>288</v>
      </c>
      <c r="D82" s="28"/>
      <c r="E82" s="9"/>
      <c r="F82" s="30">
        <f>Source!AM37</f>
        <v>267.05</v>
      </c>
      <c r="G82" s="29" t="str">
        <f>Source!DE37</f>
        <v>)*1,25</v>
      </c>
      <c r="H82" s="9">
        <f>Source!AV37</f>
        <v>1</v>
      </c>
      <c r="I82" s="31">
        <f>ROUND((Source!AD37*Source!AV37)*Source!I37,2)</f>
        <v>1175.02</v>
      </c>
      <c r="J82" s="9">
        <f>IF(Source!BB37&lt;&gt;0,Source!BB37,1)</f>
        <v>7.48</v>
      </c>
      <c r="K82" s="31">
        <f>Source!Q37</f>
        <v>8789.15</v>
      </c>
    </row>
    <row r="83" spans="1:23" ht="14.25">
      <c r="A83" s="26"/>
      <c r="B83" s="27"/>
      <c r="C83" s="27" t="s">
        <v>289</v>
      </c>
      <c r="D83" s="28"/>
      <c r="E83" s="9"/>
      <c r="F83" s="30">
        <f>Source!AN37</f>
        <v>60.4</v>
      </c>
      <c r="G83" s="29" t="str">
        <f>Source!DF37</f>
        <v>)*1,25</v>
      </c>
      <c r="H83" s="9">
        <f>Source!AV37</f>
        <v>1</v>
      </c>
      <c r="I83" s="36">
        <f>ROUND((Source!AE37*Source!AV37)*Source!I37,2)</f>
        <v>265.76</v>
      </c>
      <c r="J83" s="9">
        <f>IF(Source!BS37&lt;&gt;0,Source!BS37,1)</f>
        <v>17.04</v>
      </c>
      <c r="K83" s="36">
        <f>Source!R37</f>
        <v>4528.55</v>
      </c>
      <c r="W83">
        <f>ROUND((Source!AE37*Source!AV37)*Source!I37,2)</f>
        <v>265.76</v>
      </c>
    </row>
    <row r="84" spans="1:11" ht="14.25">
      <c r="A84" s="26"/>
      <c r="B84" s="27"/>
      <c r="C84" s="27" t="s">
        <v>291</v>
      </c>
      <c r="D84" s="28"/>
      <c r="E84" s="9"/>
      <c r="F84" s="30">
        <f>Source!AL37</f>
        <v>3796.22</v>
      </c>
      <c r="G84" s="29">
        <f>Source!DD37</f>
      </c>
      <c r="H84" s="9">
        <f>Source!AW37</f>
        <v>1</v>
      </c>
      <c r="I84" s="31">
        <f>ROUND((Source!AC37*Source!AW37)*Source!I37,2)</f>
        <v>13362.69</v>
      </c>
      <c r="J84" s="9">
        <f>IF(Source!BC37&lt;&gt;0,Source!BC37,1)</f>
        <v>11.3</v>
      </c>
      <c r="K84" s="31">
        <f>Source!P37</f>
        <v>150998.45</v>
      </c>
    </row>
    <row r="85" spans="1:27" ht="99.75">
      <c r="A85" s="26" t="str">
        <f>Source!E38</f>
        <v>8,1</v>
      </c>
      <c r="B85" s="27" t="str">
        <f>Source!F38</f>
        <v>1.3-2-29</v>
      </c>
      <c r="C85" s="27" t="str">
        <f>Source!G38</f>
        <v>СМЕСИ СУХИЕ ШТУКАТУРНЫЕ ЦЕМЕНТНО-ИЗВЕСТКОВО-ПЕСЧАНЫЕ ДЛЯ ВНУТРЕННИХ И НАРУЖНЫХ РАБОТ, ДЛЯ РУЧНОГО НАНЕСЕНИЯ:  В7,5 (М100), F50, КРУПНОСТЬ ЗАПОЛНИТЕЛЯ НЕ БОЛЕЕ 0,5 ММ</v>
      </c>
      <c r="D85" s="28" t="str">
        <f>Source!H38</f>
        <v>т</v>
      </c>
      <c r="E85" s="9">
        <f>Source!I38</f>
        <v>3.6664319999999995</v>
      </c>
      <c r="F85" s="30">
        <f>Source!AK38</f>
        <v>1517.68</v>
      </c>
      <c r="G85" s="33" t="s">
        <v>3</v>
      </c>
      <c r="H85" s="9">
        <f>Source!AW38</f>
        <v>1</v>
      </c>
      <c r="I85" s="31">
        <f>ROUND((Source!AC38*Source!AW38)*Source!I38,2)+ROUND((Source!AD38*Source!AV38)*Source!I38,2)+ROUND((Source!AF38*Source!AV38)*Source!I38,2)</f>
        <v>5564.47</v>
      </c>
      <c r="J85" s="9">
        <f>IF(Source!BC38&lt;&gt;0,Source!BC38,1)</f>
        <v>2.89</v>
      </c>
      <c r="K85" s="31">
        <f>Source!O38</f>
        <v>16081.32</v>
      </c>
      <c r="Q85">
        <f>ROUND((Source!DN38/100)*ROUND((Source!AF38*Source!AV38)*Source!I38,2),2)</f>
        <v>0</v>
      </c>
      <c r="R85">
        <f>Source!X38</f>
        <v>0</v>
      </c>
      <c r="S85">
        <f>ROUND((Source!DO38/100)*ROUND((Source!AF38*Source!AV38)*Source!I38,2),2)</f>
        <v>0</v>
      </c>
      <c r="T85">
        <f>Source!Y38</f>
        <v>0</v>
      </c>
      <c r="U85">
        <f>ROUND((175/100)*ROUND((Source!AE38*Source!AV38)*Source!I38,2),2)</f>
        <v>0</v>
      </c>
      <c r="V85">
        <f>ROUND((167/100)*ROUND(Source!CS38*Source!I38,2),2)</f>
        <v>0</v>
      </c>
      <c r="X85">
        <f>IF(Source!BI38&lt;=1,I85,0)</f>
        <v>5564.47</v>
      </c>
      <c r="Y85">
        <f>IF(Source!BI38=2,I85,0)</f>
        <v>0</v>
      </c>
      <c r="Z85">
        <f>IF(Source!BI38=3,I85,0)</f>
        <v>0</v>
      </c>
      <c r="AA85">
        <f>IF(Source!BI38=4,I85,0)</f>
        <v>0</v>
      </c>
    </row>
    <row r="86" spans="1:27" ht="28.5">
      <c r="A86" s="26" t="str">
        <f>Source!E39</f>
        <v>8,2</v>
      </c>
      <c r="B86" s="27" t="str">
        <f>Source!F39</f>
        <v>1.3-2-13</v>
      </c>
      <c r="C86" s="27" t="str">
        <f>Source!G39</f>
        <v>РАСТВОРЫ ЦЕМЕНТНО-ИЗВЕСТКОВЫЕ, МАРКА 75</v>
      </c>
      <c r="D86" s="28" t="str">
        <f>Source!H39</f>
        <v>м3</v>
      </c>
      <c r="E86" s="9">
        <f>Source!I39</f>
        <v>9.16608</v>
      </c>
      <c r="F86" s="30">
        <f>Source!AK39</f>
        <v>481.69</v>
      </c>
      <c r="G86" s="33" t="s">
        <v>3</v>
      </c>
      <c r="H86" s="9">
        <f>Source!AW39</f>
        <v>1</v>
      </c>
      <c r="I86" s="31">
        <f>ROUND((Source!AC39*Source!AW39)*Source!I39,2)+ROUND((Source!AD39*Source!AV39)*Source!I39,2)+ROUND((Source!AF39*Source!AV39)*Source!I39,2)</f>
        <v>4415.21</v>
      </c>
      <c r="J86" s="9">
        <f>IF(Source!BC39&lt;&gt;0,Source!BC39,1)</f>
        <v>7.3</v>
      </c>
      <c r="K86" s="31">
        <f>Source!O39</f>
        <v>32231.03</v>
      </c>
      <c r="Q86">
        <f>ROUND((Source!DN39/100)*ROUND((Source!AF39*Source!AV39)*Source!I39,2),2)</f>
        <v>0</v>
      </c>
      <c r="R86">
        <f>Source!X39</f>
        <v>0</v>
      </c>
      <c r="S86">
        <f>ROUND((Source!DO39/100)*ROUND((Source!AF39*Source!AV39)*Source!I39,2),2)</f>
        <v>0</v>
      </c>
      <c r="T86">
        <f>Source!Y39</f>
        <v>0</v>
      </c>
      <c r="U86">
        <f>ROUND((175/100)*ROUND((Source!AE39*Source!AV39)*Source!I39,2),2)</f>
        <v>0</v>
      </c>
      <c r="V86">
        <f>ROUND((167/100)*ROUND(Source!CS39*Source!I39,2),2)</f>
        <v>0</v>
      </c>
      <c r="X86">
        <f>IF(Source!BI39&lt;=1,I86,0)</f>
        <v>4415.21</v>
      </c>
      <c r="Y86">
        <f>IF(Source!BI39=2,I86,0)</f>
        <v>0</v>
      </c>
      <c r="Z86">
        <f>IF(Source!BI39=3,I86,0)</f>
        <v>0</v>
      </c>
      <c r="AA86">
        <f>IF(Source!BI39=4,I86,0)</f>
        <v>0</v>
      </c>
    </row>
    <row r="87" spans="1:11" ht="14.25">
      <c r="A87" s="26"/>
      <c r="B87" s="27"/>
      <c r="C87" s="27" t="s">
        <v>283</v>
      </c>
      <c r="D87" s="28" t="s">
        <v>284</v>
      </c>
      <c r="E87" s="9">
        <f>Source!DN37</f>
        <v>100</v>
      </c>
      <c r="F87" s="30"/>
      <c r="G87" s="29"/>
      <c r="H87" s="9"/>
      <c r="I87" s="31">
        <f>SUM(Q79:Q86)</f>
        <v>6250.64</v>
      </c>
      <c r="J87" s="9">
        <f>Source!BZ37</f>
        <v>85</v>
      </c>
      <c r="K87" s="31">
        <f>SUM(R79:R86)</f>
        <v>90534.25</v>
      </c>
    </row>
    <row r="88" spans="1:11" ht="14.25">
      <c r="A88" s="26"/>
      <c r="B88" s="27"/>
      <c r="C88" s="27" t="s">
        <v>285</v>
      </c>
      <c r="D88" s="28" t="s">
        <v>284</v>
      </c>
      <c r="E88" s="9">
        <f>Source!DO37</f>
        <v>64</v>
      </c>
      <c r="F88" s="30"/>
      <c r="G88" s="29"/>
      <c r="H88" s="9"/>
      <c r="I88" s="31">
        <f>SUM(S79:S87)</f>
        <v>4000.41</v>
      </c>
      <c r="J88" s="9">
        <f>Source!CA37</f>
        <v>44</v>
      </c>
      <c r="K88" s="31">
        <f>SUM(T79:T87)</f>
        <v>46864.79</v>
      </c>
    </row>
    <row r="89" spans="1:11" ht="14.25">
      <c r="A89" s="26"/>
      <c r="B89" s="27"/>
      <c r="C89" s="27" t="s">
        <v>290</v>
      </c>
      <c r="D89" s="28" t="s">
        <v>284</v>
      </c>
      <c r="E89" s="9">
        <f>175</f>
        <v>175</v>
      </c>
      <c r="F89" s="30"/>
      <c r="G89" s="29"/>
      <c r="H89" s="9"/>
      <c r="I89" s="31">
        <f>SUM(U79:U88)</f>
        <v>465.08</v>
      </c>
      <c r="J89" s="9">
        <f>167</f>
        <v>167</v>
      </c>
      <c r="K89" s="31">
        <f>SUM(V79:V88)</f>
        <v>7562.68</v>
      </c>
    </row>
    <row r="90" spans="1:11" ht="14.25">
      <c r="A90" s="26"/>
      <c r="B90" s="27"/>
      <c r="C90" s="27" t="s">
        <v>286</v>
      </c>
      <c r="D90" s="28" t="s">
        <v>287</v>
      </c>
      <c r="E90" s="9">
        <f>Source!AQ37</f>
        <v>133</v>
      </c>
      <c r="F90" s="30"/>
      <c r="G90" s="29" t="str">
        <f>Source!DI37</f>
        <v>)*1,15</v>
      </c>
      <c r="H90" s="9">
        <f>Source!AV37</f>
        <v>1</v>
      </c>
      <c r="I90" s="31">
        <f>Source!U37</f>
        <v>538.384</v>
      </c>
      <c r="J90" s="9"/>
      <c r="K90" s="31"/>
    </row>
    <row r="91" spans="1:27" ht="15">
      <c r="A91" s="35"/>
      <c r="B91" s="35"/>
      <c r="C91" s="35"/>
      <c r="D91" s="35"/>
      <c r="E91" s="35"/>
      <c r="F91" s="35"/>
      <c r="G91" s="35"/>
      <c r="H91" s="72">
        <f>I81+I82+I84+I87+I88+I89+SUM(I85:I86)</f>
        <v>41484.16</v>
      </c>
      <c r="I91" s="72"/>
      <c r="J91" s="72">
        <f>K81+K82+K84+K87+K88+K89+SUM(K85:K86)</f>
        <v>459572.54999999993</v>
      </c>
      <c r="K91" s="72"/>
      <c r="O91" s="34">
        <f>H91</f>
        <v>41484.16</v>
      </c>
      <c r="P91" s="34">
        <f>J91</f>
        <v>459572.54999999993</v>
      </c>
      <c r="X91">
        <f>IF(Source!BI37&lt;=1,I81+I82+I84+I87+I88+I89,0)</f>
        <v>31504.48</v>
      </c>
      <c r="Y91">
        <f>IF(Source!BI37=2,I81+I82+I84+I87+I88+I89,0)</f>
        <v>0</v>
      </c>
      <c r="Z91">
        <f>IF(Source!BI37=3,I81+I82+I84+I87+I88+I89,0)</f>
        <v>0</v>
      </c>
      <c r="AA91">
        <f>IF(Source!BI37=4,I81+I82+I84+I87+I88+I89,0)</f>
        <v>0</v>
      </c>
    </row>
    <row r="92" spans="1:22" ht="28.5">
      <c r="A92" s="26" t="str">
        <f>Source!E40</f>
        <v>9</v>
      </c>
      <c r="B92" s="27" t="str">
        <f>Source!F40</f>
        <v>3.15-65-1</v>
      </c>
      <c r="C92" s="27" t="str">
        <f>Source!G40</f>
        <v>УСТРОЙСТВО КАРКАСА ПРИ ОШТУКАТУРИВАНИИ СТЕН</v>
      </c>
      <c r="D92" s="28" t="str">
        <f>Source!H40</f>
        <v>100 м2</v>
      </c>
      <c r="E92" s="9">
        <f>Source!I40</f>
        <v>3.52</v>
      </c>
      <c r="F92" s="30"/>
      <c r="G92" s="29"/>
      <c r="H92" s="9"/>
      <c r="I92" s="31"/>
      <c r="J92" s="9"/>
      <c r="K92" s="31"/>
      <c r="Q92">
        <f>ROUND((Source!DN40/100)*ROUND((Source!AF40*Source!AV40)*Source!I40,2),2)</f>
        <v>1085.96</v>
      </c>
      <c r="R92">
        <f>Source!X40</f>
        <v>15729</v>
      </c>
      <c r="S92">
        <f>ROUND((Source!DO40/100)*ROUND((Source!AF40*Source!AV40)*Source!I40,2),2)</f>
        <v>695.01</v>
      </c>
      <c r="T92">
        <f>Source!Y40</f>
        <v>8142.07</v>
      </c>
      <c r="U92">
        <f>ROUND((175/100)*ROUND((Source!AE40*Source!AV40)*Source!I40,2),2)</f>
        <v>29.8</v>
      </c>
      <c r="V92">
        <f>ROUND((167/100)*ROUND(Source!CS40*Source!I40,2),2)</f>
        <v>484.57</v>
      </c>
    </row>
    <row r="93" ht="12.75">
      <c r="C93" s="32" t="str">
        <f>"Объем: "&amp;Source!I40&amp;"=352/"&amp;"100"</f>
        <v>Объем: 3,52=352/100</v>
      </c>
    </row>
    <row r="94" spans="1:23" ht="14.25">
      <c r="A94" s="26"/>
      <c r="B94" s="27"/>
      <c r="C94" s="27" t="s">
        <v>282</v>
      </c>
      <c r="D94" s="28"/>
      <c r="E94" s="9"/>
      <c r="F94" s="30">
        <f>Source!AO40</f>
        <v>268.27</v>
      </c>
      <c r="G94" s="29" t="str">
        <f>Source!DG40</f>
        <v>)*1,15</v>
      </c>
      <c r="H94" s="9">
        <f>Source!AV40</f>
        <v>1</v>
      </c>
      <c r="I94" s="31">
        <f>ROUND((Source!AF40*Source!AV40)*Source!I40,2)</f>
        <v>1085.96</v>
      </c>
      <c r="J94" s="9">
        <f>IF(Source!BA40&lt;&gt;0,Source!BA40,1)</f>
        <v>17.04</v>
      </c>
      <c r="K94" s="31">
        <f>Source!S40</f>
        <v>18504.71</v>
      </c>
      <c r="W94">
        <f>ROUND((Source!AF40*Source!AV40)*Source!I40,2)</f>
        <v>1085.96</v>
      </c>
    </row>
    <row r="95" spans="1:11" ht="14.25">
      <c r="A95" s="26"/>
      <c r="B95" s="27"/>
      <c r="C95" s="27" t="s">
        <v>288</v>
      </c>
      <c r="D95" s="28"/>
      <c r="E95" s="9"/>
      <c r="F95" s="30">
        <f>Source!AM40</f>
        <v>16.38</v>
      </c>
      <c r="G95" s="29" t="str">
        <f>Source!DE40</f>
        <v>)*1,25</v>
      </c>
      <c r="H95" s="9">
        <f>Source!AV40</f>
        <v>1</v>
      </c>
      <c r="I95" s="31">
        <f>ROUND((Source!AD40*Source!AV40)*Source!I40,2)</f>
        <v>72.07</v>
      </c>
      <c r="J95" s="9">
        <f>IF(Source!BB40&lt;&gt;0,Source!BB40,1)</f>
        <v>8.95</v>
      </c>
      <c r="K95" s="31">
        <f>Source!Q40</f>
        <v>645.04</v>
      </c>
    </row>
    <row r="96" spans="1:23" ht="14.25">
      <c r="A96" s="26"/>
      <c r="B96" s="27"/>
      <c r="C96" s="27" t="s">
        <v>289</v>
      </c>
      <c r="D96" s="28"/>
      <c r="E96" s="9"/>
      <c r="F96" s="30">
        <f>Source!AN40</f>
        <v>3.87</v>
      </c>
      <c r="G96" s="29" t="str">
        <f>Source!DF40</f>
        <v>)*1,25</v>
      </c>
      <c r="H96" s="9">
        <f>Source!AV40</f>
        <v>1</v>
      </c>
      <c r="I96" s="36">
        <f>ROUND((Source!AE40*Source!AV40)*Source!I40,2)</f>
        <v>17.03</v>
      </c>
      <c r="J96" s="9">
        <f>IF(Source!BS40&lt;&gt;0,Source!BS40,1)</f>
        <v>17.04</v>
      </c>
      <c r="K96" s="36">
        <f>Source!R40</f>
        <v>290.16</v>
      </c>
      <c r="W96">
        <f>ROUND((Source!AE40*Source!AV40)*Source!I40,2)</f>
        <v>17.03</v>
      </c>
    </row>
    <row r="97" spans="1:11" ht="14.25">
      <c r="A97" s="26"/>
      <c r="B97" s="27"/>
      <c r="C97" s="27" t="s">
        <v>291</v>
      </c>
      <c r="D97" s="28"/>
      <c r="E97" s="9"/>
      <c r="F97" s="30">
        <f>Source!AL40</f>
        <v>3.5</v>
      </c>
      <c r="G97" s="29">
        <f>Source!DD40</f>
      </c>
      <c r="H97" s="9">
        <f>Source!AW40</f>
        <v>1</v>
      </c>
      <c r="I97" s="31">
        <f>ROUND((Source!AC40*Source!AW40)*Source!I40,2)</f>
        <v>12.32</v>
      </c>
      <c r="J97" s="9">
        <f>IF(Source!BC40&lt;&gt;0,Source!BC40,1)</f>
        <v>4.88</v>
      </c>
      <c r="K97" s="31">
        <f>Source!P40</f>
        <v>60.12</v>
      </c>
    </row>
    <row r="98" spans="1:27" ht="71.25">
      <c r="A98" s="26" t="str">
        <f>Source!E41</f>
        <v>9,1</v>
      </c>
      <c r="B98" s="27" t="str">
        <f>Source!F41</f>
        <v>1.1-1-341</v>
      </c>
      <c r="C98" s="27" t="str">
        <f>Source!G41</f>
        <v>КАТАНКА (ПРОВОЛОКА КАТАНАЯ) ОБЩЕГО НАЗНАЧЕНИЯ (УГЛЕРОДИСТАЯ) СПОКОЙНАЯ, МАРКА БСТ1СП-3СП, ДИАМЕТР 5,5-6,5 ММ</v>
      </c>
      <c r="D98" s="28" t="str">
        <f>Source!H41</f>
        <v>т</v>
      </c>
      <c r="E98" s="9">
        <f>Source!I41</f>
        <v>1.2672</v>
      </c>
      <c r="F98" s="30">
        <f>Source!AK41</f>
        <v>4350.01</v>
      </c>
      <c r="G98" s="33" t="s">
        <v>3</v>
      </c>
      <c r="H98" s="9">
        <f>Source!AW41</f>
        <v>1</v>
      </c>
      <c r="I98" s="31">
        <f>ROUND((Source!AC41*Source!AW41)*Source!I41,2)+ROUND((Source!AD41*Source!AV41)*Source!I41,2)+ROUND((Source!AF41*Source!AV41)*Source!I41,2)</f>
        <v>5512.33</v>
      </c>
      <c r="J98" s="9">
        <f>IF(Source!BC41&lt;&gt;0,Source!BC41,1)</f>
        <v>6.38</v>
      </c>
      <c r="K98" s="31">
        <f>Source!O41</f>
        <v>35168.68</v>
      </c>
      <c r="Q98">
        <f>ROUND((Source!DN41/100)*ROUND((Source!AF41*Source!AV41)*Source!I41,2),2)</f>
        <v>0</v>
      </c>
      <c r="R98">
        <f>Source!X41</f>
        <v>0</v>
      </c>
      <c r="S98">
        <f>ROUND((Source!DO41/100)*ROUND((Source!AF41*Source!AV41)*Source!I41,2),2)</f>
        <v>0</v>
      </c>
      <c r="T98">
        <f>Source!Y41</f>
        <v>0</v>
      </c>
      <c r="U98">
        <f>ROUND((175/100)*ROUND((Source!AE41*Source!AV41)*Source!I41,2),2)</f>
        <v>0</v>
      </c>
      <c r="V98">
        <f>ROUND((167/100)*ROUND(Source!CS41*Source!I41,2),2)</f>
        <v>0</v>
      </c>
      <c r="X98">
        <f>IF(Source!BI41&lt;=1,I98,0)</f>
        <v>5512.33</v>
      </c>
      <c r="Y98">
        <f>IF(Source!BI41=2,I98,0)</f>
        <v>0</v>
      </c>
      <c r="Z98">
        <f>IF(Source!BI41=3,I98,0)</f>
        <v>0</v>
      </c>
      <c r="AA98">
        <f>IF(Source!BI41=4,I98,0)</f>
        <v>0</v>
      </c>
    </row>
    <row r="99" spans="1:11" ht="14.25">
      <c r="A99" s="26"/>
      <c r="B99" s="27"/>
      <c r="C99" s="27" t="s">
        <v>283</v>
      </c>
      <c r="D99" s="28" t="s">
        <v>284</v>
      </c>
      <c r="E99" s="9">
        <f>Source!DN40</f>
        <v>100</v>
      </c>
      <c r="F99" s="30"/>
      <c r="G99" s="29"/>
      <c r="H99" s="9"/>
      <c r="I99" s="31">
        <f>SUM(Q92:Q98)</f>
        <v>1085.96</v>
      </c>
      <c r="J99" s="9">
        <f>Source!BZ40</f>
        <v>85</v>
      </c>
      <c r="K99" s="31">
        <f>SUM(R92:R98)</f>
        <v>15729</v>
      </c>
    </row>
    <row r="100" spans="1:11" ht="14.25">
      <c r="A100" s="26"/>
      <c r="B100" s="27"/>
      <c r="C100" s="27" t="s">
        <v>285</v>
      </c>
      <c r="D100" s="28" t="s">
        <v>284</v>
      </c>
      <c r="E100" s="9">
        <f>Source!DO40</f>
        <v>64</v>
      </c>
      <c r="F100" s="30"/>
      <c r="G100" s="29"/>
      <c r="H100" s="9"/>
      <c r="I100" s="31">
        <f>SUM(S92:S99)</f>
        <v>695.01</v>
      </c>
      <c r="J100" s="9">
        <f>Source!CA40</f>
        <v>44</v>
      </c>
      <c r="K100" s="31">
        <f>SUM(T92:T99)</f>
        <v>8142.07</v>
      </c>
    </row>
    <row r="101" spans="1:11" ht="14.25">
      <c r="A101" s="26"/>
      <c r="B101" s="27"/>
      <c r="C101" s="27" t="s">
        <v>290</v>
      </c>
      <c r="D101" s="28" t="s">
        <v>284</v>
      </c>
      <c r="E101" s="9">
        <f>175</f>
        <v>175</v>
      </c>
      <c r="F101" s="30"/>
      <c r="G101" s="29"/>
      <c r="H101" s="9"/>
      <c r="I101" s="31">
        <f>SUM(U92:U100)</f>
        <v>29.8</v>
      </c>
      <c r="J101" s="9">
        <f>167</f>
        <v>167</v>
      </c>
      <c r="K101" s="31">
        <f>SUM(V92:V100)</f>
        <v>484.57</v>
      </c>
    </row>
    <row r="102" spans="1:11" ht="14.25">
      <c r="A102" s="26"/>
      <c r="B102" s="27"/>
      <c r="C102" s="27" t="s">
        <v>286</v>
      </c>
      <c r="D102" s="28" t="s">
        <v>287</v>
      </c>
      <c r="E102" s="9">
        <f>Source!AQ40</f>
        <v>22.3</v>
      </c>
      <c r="F102" s="30"/>
      <c r="G102" s="29" t="str">
        <f>Source!DI40</f>
        <v>)*1,15</v>
      </c>
      <c r="H102" s="9">
        <f>Source!AV40</f>
        <v>1</v>
      </c>
      <c r="I102" s="31">
        <f>Source!U40</f>
        <v>90.2704</v>
      </c>
      <c r="J102" s="9"/>
      <c r="K102" s="31"/>
    </row>
    <row r="103" spans="1:27" ht="15">
      <c r="A103" s="35"/>
      <c r="B103" s="35"/>
      <c r="C103" s="35"/>
      <c r="D103" s="35"/>
      <c r="E103" s="35"/>
      <c r="F103" s="35"/>
      <c r="G103" s="35"/>
      <c r="H103" s="72">
        <f>I94+I95+I97+I99+I100+I101+SUM(I98:I98)</f>
        <v>8493.45</v>
      </c>
      <c r="I103" s="72"/>
      <c r="J103" s="72">
        <f>K94+K95+K97+K99+K100+K101+SUM(K98:K98)</f>
        <v>78734.19</v>
      </c>
      <c r="K103" s="72"/>
      <c r="O103" s="34">
        <f>H103</f>
        <v>8493.45</v>
      </c>
      <c r="P103" s="34">
        <f>J103</f>
        <v>78734.19</v>
      </c>
      <c r="X103">
        <f>IF(Source!BI40&lt;=1,I94+I95+I97+I99+I100+I101,0)</f>
        <v>2981.12</v>
      </c>
      <c r="Y103">
        <f>IF(Source!BI40=2,I94+I95+I97+I99+I100+I101,0)</f>
        <v>0</v>
      </c>
      <c r="Z103">
        <f>IF(Source!BI40=3,I94+I95+I97+I99+I100+I101,0)</f>
        <v>0</v>
      </c>
      <c r="AA103">
        <f>IF(Source!BI40=4,I94+I95+I97+I99+I100+I101,0)</f>
        <v>0</v>
      </c>
    </row>
    <row r="104" spans="1:22" ht="57">
      <c r="A104" s="26" t="str">
        <f>Source!E42</f>
        <v>10</v>
      </c>
      <c r="B104" s="27" t="str">
        <f>Source!F42</f>
        <v>3.15-83-1</v>
      </c>
      <c r="C104" s="27" t="str">
        <f>Source!G42</f>
        <v>ПЕРХЛОРВИНИЛОВАЯ ОКРАСКА ФАСАДОВ С ЛЕСОВ С ПОДГОТОВКОЙ ПОВЕРХНОСТИ ПО ШТУКАТУРКЕ ИЛИ БЕТОНУ</v>
      </c>
      <c r="D104" s="28" t="str">
        <f>Source!H42</f>
        <v>100 м2</v>
      </c>
      <c r="E104" s="9">
        <f>Source!I42</f>
        <v>3.52</v>
      </c>
      <c r="F104" s="30"/>
      <c r="G104" s="29"/>
      <c r="H104" s="9"/>
      <c r="I104" s="31"/>
      <c r="J104" s="9"/>
      <c r="K104" s="31"/>
      <c r="Q104">
        <f>ROUND((Source!DN42/100)*ROUND((Source!AF42*Source!AV42)*Source!I42,2),2)</f>
        <v>705.32</v>
      </c>
      <c r="R104">
        <f>Source!X42</f>
        <v>10215.9</v>
      </c>
      <c r="S104">
        <f>ROUND((Source!DO42/100)*ROUND((Source!AF42*Source!AV42)*Source!I42,2),2)</f>
        <v>451.4</v>
      </c>
      <c r="T104">
        <f>Source!Y42</f>
        <v>5288.23</v>
      </c>
      <c r="U104">
        <f>ROUND((175/100)*ROUND((Source!AE42*Source!AV42)*Source!I42,2),2)</f>
        <v>16.01</v>
      </c>
      <c r="V104">
        <f>ROUND((167/100)*ROUND(Source!CS42*Source!I42,2),2)</f>
        <v>260.44</v>
      </c>
    </row>
    <row r="105" ht="12.75">
      <c r="C105" s="32" t="str">
        <f>"Объем: "&amp;Source!I42&amp;"=352/"&amp;"100"</f>
        <v>Объем: 3,52=352/100</v>
      </c>
    </row>
    <row r="106" spans="1:23" ht="14.25">
      <c r="A106" s="26"/>
      <c r="B106" s="27"/>
      <c r="C106" s="27" t="s">
        <v>282</v>
      </c>
      <c r="D106" s="28"/>
      <c r="E106" s="9"/>
      <c r="F106" s="30">
        <f>Source!AO42</f>
        <v>174.24</v>
      </c>
      <c r="G106" s="29" t="str">
        <f>Source!DG42</f>
        <v>)*1,15</v>
      </c>
      <c r="H106" s="9">
        <f>Source!AV42</f>
        <v>1</v>
      </c>
      <c r="I106" s="31">
        <f>ROUND((Source!AF42*Source!AV42)*Source!I42,2)</f>
        <v>705.32</v>
      </c>
      <c r="J106" s="9">
        <f>IF(Source!BA42&lt;&gt;0,Source!BA42,1)</f>
        <v>17.04</v>
      </c>
      <c r="K106" s="31">
        <f>Source!S42</f>
        <v>12018.71</v>
      </c>
      <c r="W106">
        <f>ROUND((Source!AF42*Source!AV42)*Source!I42,2)</f>
        <v>705.32</v>
      </c>
    </row>
    <row r="107" spans="1:11" ht="14.25">
      <c r="A107" s="26"/>
      <c r="B107" s="27"/>
      <c r="C107" s="27" t="s">
        <v>288</v>
      </c>
      <c r="D107" s="28"/>
      <c r="E107" s="9"/>
      <c r="F107" s="30">
        <f>Source!AM42</f>
        <v>8.46</v>
      </c>
      <c r="G107" s="29" t="str">
        <f>Source!DE42</f>
        <v>)*1,25</v>
      </c>
      <c r="H107" s="9">
        <f>Source!AV42</f>
        <v>1</v>
      </c>
      <c r="I107" s="31">
        <f>ROUND((Source!AD42*Source!AV42)*Source!I42,2)</f>
        <v>37.22</v>
      </c>
      <c r="J107" s="9">
        <f>IF(Source!BB42&lt;&gt;0,Source!BB42,1)</f>
        <v>8.99</v>
      </c>
      <c r="K107" s="31">
        <f>Source!Q42</f>
        <v>334.64</v>
      </c>
    </row>
    <row r="108" spans="1:23" ht="14.25">
      <c r="A108" s="26"/>
      <c r="B108" s="27"/>
      <c r="C108" s="27" t="s">
        <v>289</v>
      </c>
      <c r="D108" s="28"/>
      <c r="E108" s="9"/>
      <c r="F108" s="30">
        <f>Source!AN42</f>
        <v>2.08</v>
      </c>
      <c r="G108" s="29" t="str">
        <f>Source!DF42</f>
        <v>)*1,25</v>
      </c>
      <c r="H108" s="9">
        <f>Source!AV42</f>
        <v>1</v>
      </c>
      <c r="I108" s="36">
        <f>ROUND((Source!AE42*Source!AV42)*Source!I42,2)</f>
        <v>9.15</v>
      </c>
      <c r="J108" s="9">
        <f>IF(Source!BS42&lt;&gt;0,Source!BS42,1)</f>
        <v>17.04</v>
      </c>
      <c r="K108" s="36">
        <f>Source!R42</f>
        <v>155.95</v>
      </c>
      <c r="W108">
        <f>ROUND((Source!AE42*Source!AV42)*Source!I42,2)</f>
        <v>9.15</v>
      </c>
    </row>
    <row r="109" spans="1:11" ht="14.25">
      <c r="A109" s="26"/>
      <c r="B109" s="27"/>
      <c r="C109" s="27" t="s">
        <v>291</v>
      </c>
      <c r="D109" s="28"/>
      <c r="E109" s="9"/>
      <c r="F109" s="30">
        <f>Source!AL42</f>
        <v>426.17</v>
      </c>
      <c r="G109" s="29">
        <f>Source!DD42</f>
      </c>
      <c r="H109" s="9">
        <f>Source!AW42</f>
        <v>1</v>
      </c>
      <c r="I109" s="31">
        <f>ROUND((Source!AC42*Source!AW42)*Source!I42,2)</f>
        <v>1500.12</v>
      </c>
      <c r="J109" s="9">
        <f>IF(Source!BC42&lt;&gt;0,Source!BC42,1)</f>
        <v>7.69</v>
      </c>
      <c r="K109" s="31">
        <f>Source!P42</f>
        <v>11535.91</v>
      </c>
    </row>
    <row r="110" spans="1:27" ht="42.75">
      <c r="A110" s="26" t="str">
        <f>Source!E43</f>
        <v>10,1</v>
      </c>
      <c r="B110" s="27" t="str">
        <f>Source!F43</f>
        <v>1.1-1-450</v>
      </c>
      <c r="C110" s="27" t="str">
        <f>Source!G43</f>
        <v>КРАСКИ ФАСАДНЫЕ ПЕРХЛОРВИНИЛОВЫЕ, МАРКА ХВ161 'А' (ЦВЕТНАЯ)</v>
      </c>
      <c r="D110" s="28" t="str">
        <f>Source!H43</f>
        <v>т</v>
      </c>
      <c r="E110" s="9">
        <f>Source!I43</f>
        <v>0.20768</v>
      </c>
      <c r="F110" s="30">
        <f>Source!AK43</f>
        <v>16138.28</v>
      </c>
      <c r="G110" s="33" t="s">
        <v>3</v>
      </c>
      <c r="H110" s="9">
        <f>Source!AW43</f>
        <v>1</v>
      </c>
      <c r="I110" s="31">
        <f>ROUND((Source!AC43*Source!AW43)*Source!I43,2)+ROUND((Source!AD43*Source!AV43)*Source!I43,2)+ROUND((Source!AF43*Source!AV43)*Source!I43,2)</f>
        <v>3351.6</v>
      </c>
      <c r="J110" s="9">
        <f>IF(Source!BC43&lt;&gt;0,Source!BC43,1)</f>
        <v>5.25</v>
      </c>
      <c r="K110" s="31">
        <f>Source!O43</f>
        <v>17595.89</v>
      </c>
      <c r="Q110">
        <f>ROUND((Source!DN43/100)*ROUND((Source!AF43*Source!AV43)*Source!I43,2),2)</f>
        <v>0</v>
      </c>
      <c r="R110">
        <f>Source!X43</f>
        <v>0</v>
      </c>
      <c r="S110">
        <f>ROUND((Source!DO43/100)*ROUND((Source!AF43*Source!AV43)*Source!I43,2),2)</f>
        <v>0</v>
      </c>
      <c r="T110">
        <f>Source!Y43</f>
        <v>0</v>
      </c>
      <c r="U110">
        <f>ROUND((175/100)*ROUND((Source!AE43*Source!AV43)*Source!I43,2),2)</f>
        <v>0</v>
      </c>
      <c r="V110">
        <f>ROUND((167/100)*ROUND(Source!CS43*Source!I43,2),2)</f>
        <v>0</v>
      </c>
      <c r="X110">
        <f>IF(Source!BI43&lt;=1,I110,0)</f>
        <v>3351.6</v>
      </c>
      <c r="Y110">
        <f>IF(Source!BI43=2,I110,0)</f>
        <v>0</v>
      </c>
      <c r="Z110">
        <f>IF(Source!BI43=3,I110,0)</f>
        <v>0</v>
      </c>
      <c r="AA110">
        <f>IF(Source!BI43=4,I110,0)</f>
        <v>0</v>
      </c>
    </row>
    <row r="111" spans="1:11" ht="14.25">
      <c r="A111" s="26"/>
      <c r="B111" s="27"/>
      <c r="C111" s="27" t="s">
        <v>283</v>
      </c>
      <c r="D111" s="28" t="s">
        <v>284</v>
      </c>
      <c r="E111" s="9">
        <f>Source!DN42</f>
        <v>100</v>
      </c>
      <c r="F111" s="30"/>
      <c r="G111" s="29"/>
      <c r="H111" s="9"/>
      <c r="I111" s="31">
        <f>SUM(Q104:Q110)</f>
        <v>705.32</v>
      </c>
      <c r="J111" s="9">
        <f>Source!BZ42</f>
        <v>85</v>
      </c>
      <c r="K111" s="31">
        <f>SUM(R104:R110)</f>
        <v>10215.9</v>
      </c>
    </row>
    <row r="112" spans="1:11" ht="14.25">
      <c r="A112" s="26"/>
      <c r="B112" s="27"/>
      <c r="C112" s="27" t="s">
        <v>285</v>
      </c>
      <c r="D112" s="28" t="s">
        <v>284</v>
      </c>
      <c r="E112" s="9">
        <f>Source!DO42</f>
        <v>64</v>
      </c>
      <c r="F112" s="30"/>
      <c r="G112" s="29"/>
      <c r="H112" s="9"/>
      <c r="I112" s="31">
        <f>SUM(S104:S111)</f>
        <v>451.4</v>
      </c>
      <c r="J112" s="9">
        <f>Source!CA42</f>
        <v>44</v>
      </c>
      <c r="K112" s="31">
        <f>SUM(T104:T111)</f>
        <v>5288.23</v>
      </c>
    </row>
    <row r="113" spans="1:11" ht="14.25">
      <c r="A113" s="26"/>
      <c r="B113" s="27"/>
      <c r="C113" s="27" t="s">
        <v>290</v>
      </c>
      <c r="D113" s="28" t="s">
        <v>284</v>
      </c>
      <c r="E113" s="9">
        <f>175</f>
        <v>175</v>
      </c>
      <c r="F113" s="30"/>
      <c r="G113" s="29"/>
      <c r="H113" s="9"/>
      <c r="I113" s="31">
        <f>SUM(U104:U112)</f>
        <v>16.01</v>
      </c>
      <c r="J113" s="9">
        <f>167</f>
        <v>167</v>
      </c>
      <c r="K113" s="31">
        <f>SUM(V104:V112)</f>
        <v>260.44</v>
      </c>
    </row>
    <row r="114" spans="1:11" ht="14.25">
      <c r="A114" s="26"/>
      <c r="B114" s="27"/>
      <c r="C114" s="27" t="s">
        <v>286</v>
      </c>
      <c r="D114" s="28" t="s">
        <v>287</v>
      </c>
      <c r="E114" s="9">
        <f>Source!AQ42</f>
        <v>13.2</v>
      </c>
      <c r="F114" s="30"/>
      <c r="G114" s="29" t="str">
        <f>Source!DI42</f>
        <v>)*1,15</v>
      </c>
      <c r="H114" s="9">
        <f>Source!AV42</f>
        <v>1</v>
      </c>
      <c r="I114" s="31">
        <f>Source!U42</f>
        <v>53.43359999999999</v>
      </c>
      <c r="J114" s="9"/>
      <c r="K114" s="31"/>
    </row>
    <row r="115" spans="1:27" ht="15">
      <c r="A115" s="35"/>
      <c r="B115" s="35"/>
      <c r="C115" s="35"/>
      <c r="D115" s="35"/>
      <c r="E115" s="35"/>
      <c r="F115" s="35"/>
      <c r="G115" s="35"/>
      <c r="H115" s="72">
        <f>I106+I107+I109+I111+I112+I113+SUM(I110:I110)</f>
        <v>6766.99</v>
      </c>
      <c r="I115" s="72"/>
      <c r="J115" s="72">
        <f>K106+K107+K109+K111+K112+K113+SUM(K110:K110)</f>
        <v>57249.72</v>
      </c>
      <c r="K115" s="72"/>
      <c r="O115" s="34">
        <f>H115</f>
        <v>6766.99</v>
      </c>
      <c r="P115" s="34">
        <f>J115</f>
        <v>57249.72</v>
      </c>
      <c r="X115">
        <f>IF(Source!BI42&lt;=1,I106+I107+I109+I111+I112+I113,0)</f>
        <v>3415.3900000000003</v>
      </c>
      <c r="Y115">
        <f>IF(Source!BI42=2,I106+I107+I109+I111+I112+I113,0)</f>
        <v>0</v>
      </c>
      <c r="Z115">
        <f>IF(Source!BI42=3,I106+I107+I109+I111+I112+I113,0)</f>
        <v>0</v>
      </c>
      <c r="AA115">
        <f>IF(Source!BI42=4,I106+I107+I109+I111+I112+I113,0)</f>
        <v>0</v>
      </c>
    </row>
    <row r="117" spans="1:32" ht="15">
      <c r="A117" s="75" t="str">
        <f>CONCATENATE("Итого по локальной смете: ",IF(Source!G45&lt;&gt;"Новая локальная смета",Source!G45,""))</f>
        <v>Итого по локальной смете: </v>
      </c>
      <c r="B117" s="75"/>
      <c r="C117" s="75"/>
      <c r="D117" s="75"/>
      <c r="E117" s="75"/>
      <c r="F117" s="75"/>
      <c r="G117" s="75"/>
      <c r="H117" s="73">
        <f>SUM(O31:O116)</f>
        <v>67585.55</v>
      </c>
      <c r="I117" s="74"/>
      <c r="J117" s="73">
        <f>SUM(P31:P116)</f>
        <v>721219.0399999998</v>
      </c>
      <c r="K117" s="74"/>
      <c r="AF117" s="39" t="str">
        <f>CONCATENATE("Итого по локальной смете: ",IF(Source!G45&lt;&gt;"Новая локальная смета",Source!G45,""))</f>
        <v>Итого по локальной смете: </v>
      </c>
    </row>
    <row r="120" spans="1:32" ht="15">
      <c r="A120" s="75" t="str">
        <f>CONCATENATE("Итого по смете: ",IF(Source!G71&lt;&gt;"Новый объект",Source!G71,""))</f>
        <v>Итого по смете: Ремонт опорной стены у корп. 1106</v>
      </c>
      <c r="B120" s="75"/>
      <c r="C120" s="75"/>
      <c r="D120" s="75"/>
      <c r="E120" s="75"/>
      <c r="F120" s="75"/>
      <c r="G120" s="75"/>
      <c r="H120" s="73">
        <f>SUM(O1:O119)</f>
        <v>67585.55</v>
      </c>
      <c r="I120" s="74"/>
      <c r="J120" s="73">
        <f>SUM(P1:P119)</f>
        <v>721219.0399999998</v>
      </c>
      <c r="K120" s="74"/>
      <c r="AF120" s="39" t="str">
        <f>CONCATENATE("Итого по смете: ",IF(Source!G71&lt;&gt;"Новый объект",Source!G71,""))</f>
        <v>Итого по смете: Ремонт опорной стены у корп. 1106</v>
      </c>
    </row>
    <row r="121" spans="3:34" ht="14.25">
      <c r="C121" s="71" t="str">
        <f>Source!H96</f>
        <v>Итого</v>
      </c>
      <c r="D121" s="71"/>
      <c r="E121" s="71"/>
      <c r="F121" s="71"/>
      <c r="G121" s="71"/>
      <c r="H121" s="71"/>
      <c r="I121" s="71"/>
      <c r="J121" s="76">
        <f>IF(Source!F96=0,"",Source!F96)</f>
        <v>721219.04</v>
      </c>
      <c r="K121" s="76"/>
      <c r="AH121" s="40" t="s">
        <v>163</v>
      </c>
    </row>
    <row r="122" spans="3:34" ht="14.25">
      <c r="C122" s="71" t="str">
        <f>Source!H97</f>
        <v>НДС 18%</v>
      </c>
      <c r="D122" s="71"/>
      <c r="E122" s="71"/>
      <c r="F122" s="71"/>
      <c r="G122" s="71"/>
      <c r="H122" s="71"/>
      <c r="I122" s="71"/>
      <c r="J122" s="76">
        <f>IF(Source!F97=0,"",Source!F97)</f>
        <v>129819.43</v>
      </c>
      <c r="K122" s="76"/>
      <c r="AH122" s="40" t="s">
        <v>165</v>
      </c>
    </row>
    <row r="123" spans="3:34" ht="14.25">
      <c r="C123" s="71" t="str">
        <f>Source!H98</f>
        <v>Всего</v>
      </c>
      <c r="D123" s="71"/>
      <c r="E123" s="71"/>
      <c r="F123" s="71"/>
      <c r="G123" s="71"/>
      <c r="H123" s="71"/>
      <c r="I123" s="71"/>
      <c r="J123" s="76">
        <f>IF(Source!F98=0,"",Source!F98)</f>
        <v>851038.47</v>
      </c>
      <c r="K123" s="76"/>
      <c r="AH123" s="40" t="s">
        <v>160</v>
      </c>
    </row>
    <row r="126" spans="1:11" ht="14.25">
      <c r="A126" s="77" t="s">
        <v>292</v>
      </c>
      <c r="B126" s="77"/>
      <c r="C126" s="41" t="str">
        <f>IF(Source!AC12&lt;&gt;"",Source!AC12," ")</f>
        <v> </v>
      </c>
      <c r="D126" s="41"/>
      <c r="E126" s="41"/>
      <c r="F126" s="41"/>
      <c r="G126" s="41"/>
      <c r="H126" s="10" t="str">
        <f>IF(Source!AB12&lt;&gt;"",Source!AB12," ")</f>
        <v> </v>
      </c>
      <c r="I126" s="10"/>
      <c r="J126" s="10"/>
      <c r="K126" s="10"/>
    </row>
    <row r="127" spans="1:11" ht="14.25">
      <c r="A127" s="10"/>
      <c r="B127" s="10"/>
      <c r="C127" s="65" t="s">
        <v>293</v>
      </c>
      <c r="D127" s="65"/>
      <c r="E127" s="65"/>
      <c r="F127" s="65"/>
      <c r="G127" s="65"/>
      <c r="H127" s="10"/>
      <c r="I127" s="10"/>
      <c r="J127" s="10"/>
      <c r="K127" s="10"/>
    </row>
    <row r="128" spans="1:11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4.25">
      <c r="A129" s="77" t="s">
        <v>294</v>
      </c>
      <c r="B129" s="77"/>
      <c r="C129" s="41" t="str">
        <f>IF(Source!AE12&lt;&gt;"",Source!AE12," ")</f>
        <v> </v>
      </c>
      <c r="D129" s="41"/>
      <c r="E129" s="41"/>
      <c r="F129" s="41"/>
      <c r="G129" s="41"/>
      <c r="H129" s="10" t="str">
        <f>IF(Source!AD12&lt;&gt;"",Source!AD12," ")</f>
        <v> </v>
      </c>
      <c r="I129" s="10"/>
      <c r="J129" s="10"/>
      <c r="K129" s="10"/>
    </row>
    <row r="130" spans="1:11" ht="14.25">
      <c r="A130" s="10"/>
      <c r="B130" s="10"/>
      <c r="C130" s="65" t="s">
        <v>293</v>
      </c>
      <c r="D130" s="65"/>
      <c r="E130" s="65"/>
      <c r="F130" s="65"/>
      <c r="G130" s="65"/>
      <c r="H130" s="10"/>
      <c r="I130" s="10"/>
      <c r="J130" s="10"/>
      <c r="K130" s="10"/>
    </row>
  </sheetData>
  <sheetProtection/>
  <mergeCells count="56">
    <mergeCell ref="A129:B129"/>
    <mergeCell ref="C130:G130"/>
    <mergeCell ref="C122:I122"/>
    <mergeCell ref="J122:K122"/>
    <mergeCell ref="C123:I123"/>
    <mergeCell ref="J123:K123"/>
    <mergeCell ref="A126:B126"/>
    <mergeCell ref="C127:G127"/>
    <mergeCell ref="A117:G117"/>
    <mergeCell ref="J120:K120"/>
    <mergeCell ref="H120:I120"/>
    <mergeCell ref="A120:G120"/>
    <mergeCell ref="C121:I121"/>
    <mergeCell ref="J121:K121"/>
    <mergeCell ref="J103:K103"/>
    <mergeCell ref="H103:I103"/>
    <mergeCell ref="J115:K115"/>
    <mergeCell ref="H115:I115"/>
    <mergeCell ref="J117:K117"/>
    <mergeCell ref="H117:I117"/>
    <mergeCell ref="J69:K69"/>
    <mergeCell ref="H69:I69"/>
    <mergeCell ref="J78:K78"/>
    <mergeCell ref="H78:I78"/>
    <mergeCell ref="J91:K91"/>
    <mergeCell ref="H91:I91"/>
    <mergeCell ref="J49:K49"/>
    <mergeCell ref="H49:I49"/>
    <mergeCell ref="J54:K54"/>
    <mergeCell ref="H54:I54"/>
    <mergeCell ref="J57:K57"/>
    <mergeCell ref="H57:I57"/>
    <mergeCell ref="F24:H24"/>
    <mergeCell ref="F25:H25"/>
    <mergeCell ref="F26:H26"/>
    <mergeCell ref="F27:H27"/>
    <mergeCell ref="J38:K38"/>
    <mergeCell ref="H38:I38"/>
    <mergeCell ref="A15:K15"/>
    <mergeCell ref="A17:K17"/>
    <mergeCell ref="A18:K18"/>
    <mergeCell ref="A20:K20"/>
    <mergeCell ref="F22:H22"/>
    <mergeCell ref="F23:H23"/>
    <mergeCell ref="B6:E6"/>
    <mergeCell ref="G6:K6"/>
    <mergeCell ref="A9:K9"/>
    <mergeCell ref="A10:K10"/>
    <mergeCell ref="A12:K12"/>
    <mergeCell ref="A13:K13"/>
    <mergeCell ref="B2:E2"/>
    <mergeCell ref="G2:K2"/>
    <mergeCell ref="B3:E3"/>
    <mergeCell ref="G3:K3"/>
    <mergeCell ref="B5:E5"/>
    <mergeCell ref="G5:K5"/>
  </mergeCells>
  <printOptions/>
  <pageMargins left="0.4" right="0.2" top="0.2" bottom="0.4" header="0.2" footer="0.2"/>
  <pageSetup horizontalDpi="600" verticalDpi="600" orientation="portrait" paperSize="9" scale="6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customWidth="1"/>
    <col min="31" max="31" width="129.7109375" style="0" customWidth="1"/>
  </cols>
  <sheetData>
    <row r="1" spans="1:5" ht="14.25">
      <c r="A1" s="10"/>
      <c r="B1" s="10"/>
      <c r="C1" s="10"/>
      <c r="D1" s="10"/>
      <c r="E1" s="10"/>
    </row>
    <row r="2" spans="1:5" ht="15">
      <c r="A2" s="10"/>
      <c r="B2" s="10"/>
      <c r="C2" s="74" t="s">
        <v>256</v>
      </c>
      <c r="D2" s="74"/>
      <c r="E2" s="10"/>
    </row>
    <row r="3" spans="1:5" ht="15">
      <c r="A3" s="10"/>
      <c r="B3" s="10"/>
      <c r="C3" s="38"/>
      <c r="D3" s="38"/>
      <c r="E3" s="10"/>
    </row>
    <row r="4" spans="1:5" ht="15">
      <c r="A4" s="10"/>
      <c r="B4" s="10"/>
      <c r="C4" s="79"/>
      <c r="D4" s="79"/>
      <c r="E4" s="10"/>
    </row>
    <row r="5" spans="1:5" ht="15">
      <c r="A5" s="10"/>
      <c r="B5" s="10"/>
      <c r="C5" s="42"/>
      <c r="D5" s="42"/>
      <c r="E5" s="10"/>
    </row>
    <row r="6" spans="1:5" ht="15">
      <c r="A6" s="10"/>
      <c r="B6" s="10"/>
      <c r="C6" s="79"/>
      <c r="D6" s="79"/>
      <c r="E6" s="10"/>
    </row>
    <row r="7" spans="1:5" ht="15">
      <c r="A7" s="10"/>
      <c r="B7" s="10"/>
      <c r="C7" s="42"/>
      <c r="D7" s="42"/>
      <c r="E7" s="10"/>
    </row>
    <row r="8" spans="1:5" ht="15">
      <c r="A8" s="10"/>
      <c r="B8" s="74" t="s">
        <v>295</v>
      </c>
      <c r="C8" s="74"/>
      <c r="D8" s="43"/>
      <c r="E8" s="10"/>
    </row>
    <row r="9" spans="1:5" ht="14.25">
      <c r="A9" s="10"/>
      <c r="B9" s="10"/>
      <c r="C9" s="10"/>
      <c r="D9" s="10"/>
      <c r="E9" s="10"/>
    </row>
    <row r="10" spans="1:5" ht="14.25">
      <c r="A10" s="10"/>
      <c r="B10" s="10"/>
      <c r="C10" s="10"/>
      <c r="D10" s="10"/>
      <c r="E10" s="10"/>
    </row>
    <row r="11" spans="1:30" ht="15.75">
      <c r="A11" s="80" t="str">
        <f>CONCATENATE("Дефектный акт ",IF(Source!AN15&lt;&gt;"",Source!AN15," "))</f>
        <v>Дефектный акт  </v>
      </c>
      <c r="B11" s="80"/>
      <c r="C11" s="80"/>
      <c r="D11" s="80"/>
      <c r="E11" s="10"/>
      <c r="AD11" s="44" t="str">
        <f>CONCATENATE("Дефектный акт ",IF(Source!AN15&lt;&gt;"",Source!AN15," "))</f>
        <v>Дефектный акт  </v>
      </c>
    </row>
    <row r="12" spans="1:30" ht="15">
      <c r="A12" s="81" t="str">
        <f>CONCATENATE("На капитальный ремонт ",Source!F12)</f>
        <v>На капитальный ремонт Новый объект</v>
      </c>
      <c r="B12" s="81"/>
      <c r="C12" s="81"/>
      <c r="D12" s="81"/>
      <c r="E12" s="10"/>
      <c r="AD12" s="45" t="str">
        <f>CONCATENATE("На капитальный ремонт ",Source!F12)</f>
        <v>На капитальный ремонт Новый объект</v>
      </c>
    </row>
    <row r="13" spans="1:5" ht="14.25">
      <c r="A13" s="10"/>
      <c r="B13" s="10"/>
      <c r="C13" s="10"/>
      <c r="D13" s="10"/>
      <c r="E13" s="10"/>
    </row>
    <row r="14" spans="1:5" ht="15">
      <c r="A14" s="10"/>
      <c r="B14" s="46" t="s">
        <v>296</v>
      </c>
      <c r="C14" s="10"/>
      <c r="D14" s="10"/>
      <c r="E14" s="10"/>
    </row>
    <row r="15" spans="1:5" ht="15">
      <c r="A15" s="10"/>
      <c r="B15" s="46" t="s">
        <v>297</v>
      </c>
      <c r="C15" s="10"/>
      <c r="D15" s="10"/>
      <c r="E15" s="10"/>
    </row>
    <row r="16" spans="1:5" ht="15">
      <c r="A16" s="10"/>
      <c r="B16" s="46" t="s">
        <v>298</v>
      </c>
      <c r="C16" s="10"/>
      <c r="D16" s="10"/>
      <c r="E16" s="10"/>
    </row>
    <row r="17" spans="1:5" ht="28.5">
      <c r="A17" s="24" t="s">
        <v>299</v>
      </c>
      <c r="B17" s="24" t="s">
        <v>272</v>
      </c>
      <c r="C17" s="24" t="s">
        <v>273</v>
      </c>
      <c r="D17" s="24" t="s">
        <v>300</v>
      </c>
      <c r="E17" s="25" t="s">
        <v>301</v>
      </c>
    </row>
    <row r="18" spans="1:5" ht="14.25">
      <c r="A18" s="48">
        <v>1</v>
      </c>
      <c r="B18" s="48">
        <v>2</v>
      </c>
      <c r="C18" s="48">
        <v>3</v>
      </c>
      <c r="D18" s="48">
        <v>4</v>
      </c>
      <c r="E18" s="49">
        <v>5</v>
      </c>
    </row>
    <row r="19" spans="1:31" ht="16.5">
      <c r="A19" s="78" t="str">
        <f>CONCATENATE("Локальная смета: ",Source!G20)</f>
        <v>Локальная смета: Новая локальная смета</v>
      </c>
      <c r="B19" s="78"/>
      <c r="C19" s="78"/>
      <c r="D19" s="78"/>
      <c r="E19" s="78"/>
      <c r="AE19" s="47" t="str">
        <f>CONCATENATE("Локальная смета: ",Source!G20)</f>
        <v>Локальная смета: Новая локальная смета</v>
      </c>
    </row>
    <row r="20" spans="1:5" ht="28.5">
      <c r="A20" s="54" t="str">
        <f>Source!E24</f>
        <v>1</v>
      </c>
      <c r="B20" s="55" t="str">
        <f>Source!G24</f>
        <v>ОТБИВКА ШТУКАТУРКИ ПО КИРПИЧУ И БЕТОНУ СТЕН, ПОТОЛКОВ ПЛОЩАДЬЮ БОЛЕЕ 5 М2</v>
      </c>
      <c r="C20" s="56" t="str">
        <f>Source!H24</f>
        <v>100 м2</v>
      </c>
      <c r="D20" s="57">
        <f>Source!I24</f>
        <v>3.52</v>
      </c>
      <c r="E20" s="54"/>
    </row>
    <row r="21" spans="1:5" ht="14.25">
      <c r="A21" s="54" t="str">
        <f>Source!E25</f>
        <v>1,1</v>
      </c>
      <c r="B21" s="55" t="str">
        <f>Source!G25</f>
        <v>МАССА МУСОРА</v>
      </c>
      <c r="C21" s="56" t="str">
        <f>Source!H25</f>
        <v>т</v>
      </c>
      <c r="D21" s="57">
        <f>Source!I25</f>
        <v>16.192</v>
      </c>
      <c r="E21" s="54"/>
    </row>
    <row r="22" spans="1:5" ht="14.25">
      <c r="A22" s="54" t="str">
        <f>Source!E26</f>
        <v>2</v>
      </c>
      <c r="B22" s="55" t="str">
        <f>Source!G26</f>
        <v>РАЗБОРКА КЛАДКИ СТЕН ИЗ КИРПИЧА ПРОСТЫХ</v>
      </c>
      <c r="C22" s="56" t="str">
        <f>Source!H26</f>
        <v>10 м3</v>
      </c>
      <c r="D22" s="57">
        <f>Source!I26</f>
        <v>0.4</v>
      </c>
      <c r="E22" s="54"/>
    </row>
    <row r="23" spans="1:5" ht="14.25">
      <c r="A23" s="54" t="str">
        <f>Source!E27</f>
        <v>2,1</v>
      </c>
      <c r="B23" s="55" t="str">
        <f>Source!G27</f>
        <v>МАССА МУСОРА</v>
      </c>
      <c r="C23" s="56" t="str">
        <f>Source!H27</f>
        <v>т</v>
      </c>
      <c r="D23" s="57">
        <f>Source!I27</f>
        <v>8.244</v>
      </c>
      <c r="E23" s="54"/>
    </row>
    <row r="24" spans="1:5" ht="28.5">
      <c r="A24" s="54" t="str">
        <f>Source!E28</f>
        <v>3</v>
      </c>
      <c r="B24" s="55" t="str">
        <f>Source!G28</f>
        <v>МЕХАНИЗИРОВАННАЯ ПОГРУЗКА СТРОИТЕЛЬНОГО МУСОРА В АВТОМОБИЛИ-САМОСВАЛЫ</v>
      </c>
      <c r="C24" s="56" t="str">
        <f>Source!H28</f>
        <v>т</v>
      </c>
      <c r="D24" s="57">
        <f>Source!I28</f>
        <v>24.436</v>
      </c>
      <c r="E24" s="54"/>
    </row>
    <row r="25" spans="1:5" ht="42.75">
      <c r="A25" s="54" t="str">
        <f>Source!E29</f>
        <v>4</v>
      </c>
      <c r="B25" s="55" t="str">
        <f>Source!G29</f>
        <v>ПЕРЕВОЗКА СТРОИТЕЛЬНОГО МУСОРА НА РАССТОЯНИЕ 29 КМ АВТОСАМОСВАЛАМИ ГРУЗОПОДЪЕМНОСТЬЮ ДО 16 Т, ПЕРЕВОЗКА ДО 29 КМ</v>
      </c>
      <c r="C25" s="56" t="str">
        <f>Source!H29</f>
        <v>т</v>
      </c>
      <c r="D25" s="57">
        <f>Source!I29</f>
        <v>24.436</v>
      </c>
      <c r="E25" s="54"/>
    </row>
    <row r="26" spans="1:5" ht="14.25">
      <c r="A26" s="54" t="str">
        <f>Source!E30</f>
        <v>5</v>
      </c>
      <c r="B26" s="55" t="str">
        <f>Source!G30</f>
        <v>УСТРОЙСТВО БЕТОННОЙ ПОДГОТОВКИ</v>
      </c>
      <c r="C26" s="56" t="str">
        <f>Source!H30</f>
        <v>100 м3</v>
      </c>
      <c r="D26" s="57">
        <f>Source!I30</f>
        <v>0.01</v>
      </c>
      <c r="E26" s="54"/>
    </row>
    <row r="27" spans="1:5" ht="42.75">
      <c r="A27" s="54" t="str">
        <f>Source!E31</f>
        <v>5,1</v>
      </c>
      <c r="B27" s="55" t="str">
        <f>Source!G31</f>
        <v>СМЕСИ БЕТОННЫЕ, БСГ, ТЯЖЕЛОГО БЕТОНА НА ГРАНИТНОМ ЩЕБНЕ, КЛАСС ПРОЧНОСТИ: В15 (М200); П3, ФРАКЦИЯ 5-20, F50-100, W0-2</v>
      </c>
      <c r="C27" s="56" t="str">
        <f>Source!H31</f>
        <v>м3</v>
      </c>
      <c r="D27" s="57">
        <f>Source!I31</f>
        <v>1.02</v>
      </c>
      <c r="E27" s="54"/>
    </row>
    <row r="28" spans="1:5" ht="14.25">
      <c r="A28" s="54" t="str">
        <f>Source!E34</f>
        <v>7</v>
      </c>
      <c r="B28" s="55" t="str">
        <f>Source!G34</f>
        <v>КЛАДКА СТЕН НАРУЖНЫХ ПРОСТЫХ ПРИ ВЫСОТЕ ЭТАЖА ДО 4 М</v>
      </c>
      <c r="C28" s="56" t="str">
        <f>Source!H34</f>
        <v>м3</v>
      </c>
      <c r="D28" s="57">
        <f>Source!I34</f>
        <v>4</v>
      </c>
      <c r="E28" s="54"/>
    </row>
    <row r="29" spans="1:5" ht="28.5">
      <c r="A29" s="54" t="str">
        <f>Source!E35</f>
        <v>7,1</v>
      </c>
      <c r="B29" s="55" t="str">
        <f>Source!G35</f>
        <v>КИРПИЧ КЕРАМИЧЕСКИЙ ОБЫКНОВЕННЫЙ, РАЗМЕР 250Х120Х65 ММ, МАРКА СРЕДНЯЯ</v>
      </c>
      <c r="C29" s="56" t="str">
        <f>Source!H35</f>
        <v>1000 шт.</v>
      </c>
      <c r="D29" s="57">
        <f>Source!I35</f>
        <v>1.52</v>
      </c>
      <c r="E29" s="54"/>
    </row>
    <row r="30" spans="1:5" ht="14.25">
      <c r="A30" s="54" t="str">
        <f>Source!E36</f>
        <v>7,2</v>
      </c>
      <c r="B30" s="55" t="str">
        <f>Source!G36</f>
        <v>РАСТВОРЫ ЦЕМЕНТНО-ИЗВЕСТКОВЫЕ, МАРКА 100</v>
      </c>
      <c r="C30" s="56" t="str">
        <f>Source!H36</f>
        <v>м3</v>
      </c>
      <c r="D30" s="57">
        <f>Source!I36</f>
        <v>0.96</v>
      </c>
      <c r="E30" s="54"/>
    </row>
    <row r="31" spans="1:5" ht="28.5">
      <c r="A31" s="54" t="str">
        <f>Source!E37</f>
        <v>8</v>
      </c>
      <c r="B31" s="55" t="str">
        <f>Source!G37</f>
        <v>УЛУЧШЕННАЯ ШТУКАТУРКА ПО СЕТКЕ СТЕН БЕЗ УСТРОЙСТВА КАРКАСА ЦЕМЕНТНО-ИЗВЕСТКОВЫМ РАСТВОРОМ</v>
      </c>
      <c r="C31" s="56" t="str">
        <f>Source!H37</f>
        <v>100 м2</v>
      </c>
      <c r="D31" s="57">
        <f>Source!I37</f>
        <v>3.52</v>
      </c>
      <c r="E31" s="54"/>
    </row>
    <row r="32" spans="1:5" ht="57">
      <c r="A32" s="54" t="str">
        <f>Source!E38</f>
        <v>8,1</v>
      </c>
      <c r="B32" s="55" t="str">
        <f>Source!G38</f>
        <v>СМЕСИ СУХИЕ ШТУКАТУРНЫЕ ЦЕМЕНТНО-ИЗВЕСТКОВО-ПЕСЧАНЫЕ ДЛЯ ВНУТРЕННИХ И НАРУЖНЫХ РАБОТ, ДЛЯ РУЧНОГО НАНЕСЕНИЯ:  В7,5 (М100), F50, КРУПНОСТЬ ЗАПОЛНИТЕЛЯ НЕ БОЛЕЕ 0,5 ММ</v>
      </c>
      <c r="C32" s="56" t="str">
        <f>Source!H38</f>
        <v>т</v>
      </c>
      <c r="D32" s="57">
        <f>Source!I38</f>
        <v>3.6664319999999995</v>
      </c>
      <c r="E32" s="54"/>
    </row>
    <row r="33" spans="1:5" ht="14.25">
      <c r="A33" s="54" t="str">
        <f>Source!E39</f>
        <v>8,2</v>
      </c>
      <c r="B33" s="55" t="str">
        <f>Source!G39</f>
        <v>РАСТВОРЫ ЦЕМЕНТНО-ИЗВЕСТКОВЫЕ, МАРКА 75</v>
      </c>
      <c r="C33" s="56" t="str">
        <f>Source!H39</f>
        <v>м3</v>
      </c>
      <c r="D33" s="57">
        <f>Source!I39</f>
        <v>9.16608</v>
      </c>
      <c r="E33" s="54"/>
    </row>
    <row r="34" spans="1:5" ht="14.25">
      <c r="A34" s="54" t="str">
        <f>Source!E40</f>
        <v>9</v>
      </c>
      <c r="B34" s="55" t="str">
        <f>Source!G40</f>
        <v>УСТРОЙСТВО КАРКАСА ПРИ ОШТУКАТУРИВАНИИ СТЕН</v>
      </c>
      <c r="C34" s="56" t="str">
        <f>Source!H40</f>
        <v>100 м2</v>
      </c>
      <c r="D34" s="57">
        <f>Source!I40</f>
        <v>3.52</v>
      </c>
      <c r="E34" s="54"/>
    </row>
    <row r="35" spans="1:5" ht="42.75">
      <c r="A35" s="54" t="str">
        <f>Source!E41</f>
        <v>9,1</v>
      </c>
      <c r="B35" s="55" t="str">
        <f>Source!G41</f>
        <v>КАТАНКА (ПРОВОЛОКА КАТАНАЯ) ОБЩЕГО НАЗНАЧЕНИЯ (УГЛЕРОДИСТАЯ) СПОКОЙНАЯ, МАРКА БСТ1СП-3СП, ДИАМЕТР 5,5-6,5 ММ</v>
      </c>
      <c r="C35" s="56" t="str">
        <f>Source!H41</f>
        <v>т</v>
      </c>
      <c r="D35" s="57">
        <f>Source!I41</f>
        <v>1.2672</v>
      </c>
      <c r="E35" s="54"/>
    </row>
    <row r="36" spans="1:5" ht="28.5">
      <c r="A36" s="54" t="str">
        <f>Source!E42</f>
        <v>10</v>
      </c>
      <c r="B36" s="55" t="str">
        <f>Source!G42</f>
        <v>ПЕРХЛОРВИНИЛОВАЯ ОКРАСКА ФАСАДОВ С ЛЕСОВ С ПОДГОТОВКОЙ ПОВЕРХНОСТИ ПО ШТУКАТУРКЕ ИЛИ БЕТОНУ</v>
      </c>
      <c r="C36" s="56" t="str">
        <f>Source!H42</f>
        <v>100 м2</v>
      </c>
      <c r="D36" s="57">
        <f>Source!I42</f>
        <v>3.52</v>
      </c>
      <c r="E36" s="54"/>
    </row>
    <row r="37" spans="1:5" ht="28.5">
      <c r="A37" s="50" t="str">
        <f>Source!E43</f>
        <v>10,1</v>
      </c>
      <c r="B37" s="51" t="str">
        <f>Source!G43</f>
        <v>КРАСКИ ФАСАДНЫЕ ПЕРХЛОРВИНИЛОВЫЕ, МАРКА ХВ161 'А' (ЦВЕТНАЯ)</v>
      </c>
      <c r="C37" s="52" t="str">
        <f>Source!H43</f>
        <v>т</v>
      </c>
      <c r="D37" s="53">
        <f>Source!I43</f>
        <v>0.20768</v>
      </c>
      <c r="E37" s="50"/>
    </row>
    <row r="40" spans="1:5" ht="15">
      <c r="A40" s="37" t="s">
        <v>302</v>
      </c>
      <c r="B40" s="37"/>
      <c r="C40" s="37" t="s">
        <v>303</v>
      </c>
      <c r="D40" s="37"/>
      <c r="E40" s="37"/>
    </row>
  </sheetData>
  <sheetProtection/>
  <mergeCells count="7">
    <mergeCell ref="A19:E19"/>
    <mergeCell ref="C2:D2"/>
    <mergeCell ref="C4:D4"/>
    <mergeCell ref="C6:D6"/>
    <mergeCell ref="B8:C8"/>
    <mergeCell ref="A11:D11"/>
    <mergeCell ref="A12:D12"/>
  </mergeCells>
  <printOptions/>
  <pageMargins left="0.4" right="0.2" top="0.2" bottom="0.4" header="0.2" footer="0.2"/>
  <pageSetup horizontalDpi="600" verticalDpi="600" orientation="portrait" paperSize="9" scale="75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t="s">
        <v>321</v>
      </c>
      <c r="B1" t="s">
        <v>322</v>
      </c>
      <c r="C1" t="s">
        <v>323</v>
      </c>
      <c r="D1" t="s">
        <v>324</v>
      </c>
      <c r="E1" t="s">
        <v>325</v>
      </c>
      <c r="F1" t="s">
        <v>326</v>
      </c>
      <c r="G1" t="s">
        <v>327</v>
      </c>
      <c r="H1" t="s">
        <v>328</v>
      </c>
      <c r="I1" t="s">
        <v>329</v>
      </c>
      <c r="J1" t="s">
        <v>330</v>
      </c>
    </row>
    <row r="2" spans="1:10" ht="12.75">
      <c r="A2">
        <v>1</v>
      </c>
      <c r="B2">
        <v>0</v>
      </c>
      <c r="C2">
        <v>0</v>
      </c>
      <c r="D2">
        <v>1</v>
      </c>
      <c r="E2">
        <v>1</v>
      </c>
      <c r="F2">
        <v>1</v>
      </c>
      <c r="G2">
        <v>1</v>
      </c>
      <c r="H2">
        <v>0</v>
      </c>
      <c r="I2">
        <v>0</v>
      </c>
      <c r="J2">
        <v>0</v>
      </c>
    </row>
    <row r="4" spans="1:17" ht="12.75">
      <c r="A4" t="s">
        <v>304</v>
      </c>
      <c r="B4" t="s">
        <v>305</v>
      </c>
      <c r="C4" t="s">
        <v>306</v>
      </c>
      <c r="D4" t="s">
        <v>307</v>
      </c>
      <c r="E4" t="s">
        <v>308</v>
      </c>
      <c r="F4" t="s">
        <v>309</v>
      </c>
      <c r="G4" t="s">
        <v>310</v>
      </c>
      <c r="H4" t="s">
        <v>311</v>
      </c>
      <c r="I4" t="s">
        <v>312</v>
      </c>
      <c r="J4" t="s">
        <v>313</v>
      </c>
      <c r="K4" t="s">
        <v>314</v>
      </c>
      <c r="L4" t="s">
        <v>315</v>
      </c>
      <c r="M4" t="s">
        <v>316</v>
      </c>
      <c r="N4" t="s">
        <v>317</v>
      </c>
      <c r="O4" t="s">
        <v>318</v>
      </c>
      <c r="P4" t="s">
        <v>319</v>
      </c>
      <c r="Q4" t="s">
        <v>320</v>
      </c>
    </row>
    <row r="6" spans="1:7" ht="12.75">
      <c r="A6">
        <f>Source!A20</f>
        <v>3</v>
      </c>
      <c r="B6">
        <v>20</v>
      </c>
      <c r="G6" t="str">
        <f>Source!G20</f>
        <v>Новая локальная смета</v>
      </c>
    </row>
    <row r="7" spans="1:17" ht="12.75">
      <c r="A7">
        <f>Source!A30</f>
        <v>17</v>
      </c>
      <c r="C7">
        <v>3</v>
      </c>
      <c r="D7">
        <v>0</v>
      </c>
      <c r="E7">
        <f>SmtRes!AV15</f>
        <v>0</v>
      </c>
      <c r="F7" t="str">
        <f>SmtRes!I15</f>
        <v>1.1-1-655</v>
      </c>
      <c r="G7" t="str">
        <f>SmtRes!K15</f>
        <v>МЕШКОВИНА</v>
      </c>
      <c r="H7" t="str">
        <f>SmtRes!O15</f>
        <v>м2</v>
      </c>
      <c r="I7">
        <f>SmtRes!Y15*Source!I30</f>
        <v>2.5</v>
      </c>
      <c r="J7">
        <f>SmtRes!AO15</f>
        <v>1</v>
      </c>
      <c r="K7">
        <f>SmtRes!AE15</f>
        <v>7.39</v>
      </c>
      <c r="L7">
        <f>I7*K7</f>
        <v>18.474999999999998</v>
      </c>
      <c r="M7">
        <f>SmtRes!AA15</f>
        <v>28.38</v>
      </c>
      <c r="N7">
        <f>I7*M7</f>
        <v>70.95</v>
      </c>
      <c r="O7">
        <f>SmtRes!X15</f>
        <v>1469808582</v>
      </c>
      <c r="P7">
        <v>-1766577232</v>
      </c>
      <c r="Q7">
        <v>-872868917</v>
      </c>
    </row>
    <row r="8" spans="1:17" ht="12.75">
      <c r="A8">
        <f>Source!A30</f>
        <v>17</v>
      </c>
      <c r="C8">
        <v>3</v>
      </c>
      <c r="D8">
        <v>0</v>
      </c>
      <c r="E8">
        <f>SmtRes!AV14</f>
        <v>0</v>
      </c>
      <c r="F8" t="str">
        <f>SmtRes!I14</f>
        <v>1.1-1-118</v>
      </c>
      <c r="G8" t="str">
        <f>SmtRes!K14</f>
        <v>ВОДА</v>
      </c>
      <c r="H8" t="str">
        <f>SmtRes!O14</f>
        <v>м3</v>
      </c>
      <c r="I8">
        <f>SmtRes!Y14*Source!I30</f>
        <v>0.0175</v>
      </c>
      <c r="J8">
        <f>SmtRes!AO14</f>
        <v>1</v>
      </c>
      <c r="K8">
        <f>SmtRes!AE14</f>
        <v>7.07</v>
      </c>
      <c r="L8">
        <f>I8*K8</f>
        <v>0.12372500000000002</v>
      </c>
      <c r="M8">
        <f>SmtRes!AA14</f>
        <v>28.14</v>
      </c>
      <c r="N8">
        <f>I8*M8</f>
        <v>0.49245000000000005</v>
      </c>
      <c r="O8">
        <f>SmtRes!X14</f>
        <v>55300385</v>
      </c>
      <c r="P8">
        <v>-2129976766</v>
      </c>
      <c r="Q8">
        <v>1058570892</v>
      </c>
    </row>
    <row r="9" spans="1:17" ht="12.75">
      <c r="A9">
        <f>Source!A31</f>
        <v>18</v>
      </c>
      <c r="C9">
        <v>3</v>
      </c>
      <c r="D9">
        <f>Source!BI31</f>
        <v>1</v>
      </c>
      <c r="E9">
        <f>Source!FS31</f>
        <v>0</v>
      </c>
      <c r="F9" t="str">
        <f>Source!F31</f>
        <v>1.3-1-38</v>
      </c>
      <c r="G9" t="str">
        <f>Source!G31</f>
        <v>СМЕСИ БЕТОННЫЕ, БСГ, ТЯЖЕЛОГО БЕТОНА НА ГРАНИТНОМ ЩЕБНЕ, КЛАСС ПРОЧНОСТИ: В15 (М200); П3, ФРАКЦИЯ 5-20, F50-100, W0-2</v>
      </c>
      <c r="H9" t="str">
        <f>Source!H31</f>
        <v>м3</v>
      </c>
      <c r="I9">
        <f>Source!I31</f>
        <v>1.02</v>
      </c>
      <c r="J9">
        <v>1</v>
      </c>
      <c r="K9">
        <f>Source!AC31</f>
        <v>704.89</v>
      </c>
      <c r="L9">
        <f>K9*I9</f>
        <v>718.9878</v>
      </c>
      <c r="M9">
        <f>Source!AC31*IF(Source!BC31&lt;&gt;0,Source!BC31,1)</f>
        <v>3207.2495</v>
      </c>
      <c r="N9">
        <f>M9*I9</f>
        <v>3271.39449</v>
      </c>
      <c r="O9">
        <f>Source!GF31</f>
        <v>-193017344</v>
      </c>
      <c r="P9">
        <v>2109653361</v>
      </c>
      <c r="Q9">
        <v>-269905632</v>
      </c>
    </row>
    <row r="10" spans="1:17" ht="12.75">
      <c r="A10">
        <f>Source!A34</f>
        <v>17</v>
      </c>
      <c r="C10">
        <v>3</v>
      </c>
      <c r="D10">
        <v>0</v>
      </c>
      <c r="E10">
        <f>SmtRes!AV25</f>
        <v>0</v>
      </c>
      <c r="F10" t="str">
        <f>SmtRes!I25</f>
        <v>1.1-1-81</v>
      </c>
      <c r="G10" t="str">
        <f>SmtRes!K25</f>
        <v>БРУСКИ ХВОЙНЫХ ПОРОД ОБРЕЗНЫЕ, ДЛИНА 2-6,5 М, СОРТ IV, ТОЛЩИНА 50-60 ММ</v>
      </c>
      <c r="H10" t="str">
        <f>SmtRes!O25</f>
        <v>м3</v>
      </c>
      <c r="I10">
        <f>SmtRes!Y25*Source!I34</f>
        <v>0.002</v>
      </c>
      <c r="J10">
        <f>SmtRes!AO25</f>
        <v>1</v>
      </c>
      <c r="K10">
        <f>SmtRes!AE25</f>
        <v>2472.13</v>
      </c>
      <c r="L10">
        <f>I10*K10</f>
        <v>4.94426</v>
      </c>
      <c r="M10">
        <f>SmtRes!AA25</f>
        <v>5364.52</v>
      </c>
      <c r="N10">
        <f>I10*M10</f>
        <v>10.729040000000001</v>
      </c>
      <c r="O10">
        <f>SmtRes!X25</f>
        <v>441764122</v>
      </c>
      <c r="P10">
        <v>934435979</v>
      </c>
      <c r="Q10">
        <v>-462368445</v>
      </c>
    </row>
    <row r="11" spans="1:17" ht="12.75">
      <c r="A11">
        <f>Source!A34</f>
        <v>17</v>
      </c>
      <c r="C11">
        <v>3</v>
      </c>
      <c r="D11">
        <v>0</v>
      </c>
      <c r="E11">
        <f>SmtRes!AV23</f>
        <v>0</v>
      </c>
      <c r="F11" t="str">
        <f>SmtRes!I23</f>
        <v>1.1-1-118</v>
      </c>
      <c r="G11" t="str">
        <f>SmtRes!K23</f>
        <v>ВОДА</v>
      </c>
      <c r="H11" t="str">
        <f>SmtRes!O23</f>
        <v>м3</v>
      </c>
      <c r="I11">
        <f>SmtRes!Y23*Source!I34</f>
        <v>1.76</v>
      </c>
      <c r="J11">
        <f>SmtRes!AO23</f>
        <v>1</v>
      </c>
      <c r="K11">
        <f>SmtRes!AE23</f>
        <v>7.07</v>
      </c>
      <c r="L11">
        <f>I11*K11</f>
        <v>12.443200000000001</v>
      </c>
      <c r="M11">
        <f>SmtRes!AA23</f>
        <v>28.14</v>
      </c>
      <c r="N11">
        <f>I11*M11</f>
        <v>49.5264</v>
      </c>
      <c r="O11">
        <f>SmtRes!X23</f>
        <v>55300385</v>
      </c>
      <c r="P11">
        <v>-2129976766</v>
      </c>
      <c r="Q11">
        <v>1058570892</v>
      </c>
    </row>
    <row r="12" spans="1:17" ht="12.75">
      <c r="A12">
        <f>Source!A35</f>
        <v>18</v>
      </c>
      <c r="C12">
        <v>3</v>
      </c>
      <c r="D12">
        <f>Source!BI35</f>
        <v>1</v>
      </c>
      <c r="E12">
        <f>Source!FS35</f>
        <v>0</v>
      </c>
      <c r="F12" t="str">
        <f>Source!F35</f>
        <v>1.1-1-354</v>
      </c>
      <c r="G12" t="str">
        <f>Source!G35</f>
        <v>КИРПИЧ КЕРАМИЧЕСКИЙ ОБЫКНОВЕННЫЙ, РАЗМЕР 250Х120Х65 ММ, МАРКА СРЕДНЯЯ</v>
      </c>
      <c r="H12" t="str">
        <f>Source!H35</f>
        <v>1000 шт.</v>
      </c>
      <c r="I12">
        <f>Source!I35</f>
        <v>1.52</v>
      </c>
      <c r="J12">
        <v>1</v>
      </c>
      <c r="K12">
        <f>Source!AC35</f>
        <v>1043.55</v>
      </c>
      <c r="L12">
        <f>K12*I12</f>
        <v>1586.196</v>
      </c>
      <c r="M12">
        <f>Source!AC35*IF(Source!BC35&lt;&gt;0,Source!BC35,1)</f>
        <v>9694.579499999998</v>
      </c>
      <c r="N12">
        <f>M12*I12</f>
        <v>14735.760839999997</v>
      </c>
      <c r="O12">
        <f>Source!GF35</f>
        <v>1425145694</v>
      </c>
      <c r="P12">
        <v>800600765</v>
      </c>
      <c r="Q12">
        <v>-2102142174</v>
      </c>
    </row>
    <row r="13" spans="1:17" ht="12.75">
      <c r="A13">
        <f>Source!A36</f>
        <v>18</v>
      </c>
      <c r="C13">
        <v>3</v>
      </c>
      <c r="D13">
        <f>Source!BI36</f>
        <v>1</v>
      </c>
      <c r="E13">
        <f>Source!FS36</f>
        <v>0</v>
      </c>
      <c r="F13" t="str">
        <f>Source!F36</f>
        <v>1.3-2-14</v>
      </c>
      <c r="G13" t="str">
        <f>Source!G36</f>
        <v>РАСТВОРЫ ЦЕМЕНТНО-ИЗВЕСТКОВЫЕ, МАРКА 100</v>
      </c>
      <c r="H13" t="str">
        <f>Source!H36</f>
        <v>м3</v>
      </c>
      <c r="I13">
        <f>Source!I36</f>
        <v>0.96</v>
      </c>
      <c r="J13">
        <v>1</v>
      </c>
      <c r="K13">
        <f>Source!AC36</f>
        <v>477.64</v>
      </c>
      <c r="L13">
        <f>K13*I13</f>
        <v>458.53439999999995</v>
      </c>
      <c r="M13">
        <f>Source!AC36*IF(Source!BC36&lt;&gt;0,Source!BC36,1)</f>
        <v>3300.4924</v>
      </c>
      <c r="N13">
        <f>M13*I13</f>
        <v>3168.472704</v>
      </c>
      <c r="O13">
        <f>Source!GF36</f>
        <v>62111432</v>
      </c>
      <c r="P13">
        <v>-1098492587</v>
      </c>
      <c r="Q13">
        <v>-896019370</v>
      </c>
    </row>
    <row r="14" spans="1:17" ht="12.75">
      <c r="A14">
        <f>Source!A37</f>
        <v>17</v>
      </c>
      <c r="C14">
        <v>3</v>
      </c>
      <c r="D14">
        <v>0</v>
      </c>
      <c r="E14">
        <f>SmtRes!AV32</f>
        <v>0</v>
      </c>
      <c r="F14" t="str">
        <f>SmtRes!I32</f>
        <v>1.1-1-740</v>
      </c>
      <c r="G14" t="str">
        <f>SmtRes!K32</f>
        <v>ПАКЛЯ ПРОПИТАННАЯ</v>
      </c>
      <c r="H14" t="str">
        <f>SmtRes!O32</f>
        <v>кг</v>
      </c>
      <c r="I14">
        <f>SmtRes!Y32*Source!I37</f>
        <v>42.24</v>
      </c>
      <c r="J14">
        <f>SmtRes!AO32</f>
        <v>1</v>
      </c>
      <c r="K14">
        <f>SmtRes!AE32</f>
        <v>9.86</v>
      </c>
      <c r="L14">
        <f>I14*K14</f>
        <v>416.4864</v>
      </c>
      <c r="M14">
        <f>SmtRes!AA32</f>
        <v>57.09</v>
      </c>
      <c r="N14">
        <f>I14*M14</f>
        <v>2411.4816</v>
      </c>
      <c r="O14">
        <f>SmtRes!X32</f>
        <v>-68373463</v>
      </c>
      <c r="P14">
        <v>-665465617</v>
      </c>
      <c r="Q14">
        <v>-1292411883</v>
      </c>
    </row>
    <row r="15" spans="1:17" ht="12.75">
      <c r="A15">
        <f>Source!A37</f>
        <v>17</v>
      </c>
      <c r="C15">
        <v>3</v>
      </c>
      <c r="D15">
        <v>0</v>
      </c>
      <c r="E15">
        <f>SmtRes!AV31</f>
        <v>0</v>
      </c>
      <c r="F15" t="str">
        <f>SmtRes!I31</f>
        <v>1.1-1-236</v>
      </c>
      <c r="G15" t="str">
        <f>SmtRes!K31</f>
        <v>ДЮБЕЛИ С НАСАЖЕННЫМИ ШАЙБАМИ</v>
      </c>
      <c r="H15" t="str">
        <f>SmtRes!O31</f>
        <v>т</v>
      </c>
      <c r="I15">
        <f>SmtRes!Y31*Source!I37</f>
        <v>0.0088</v>
      </c>
      <c r="J15">
        <f>SmtRes!AO31</f>
        <v>1</v>
      </c>
      <c r="K15">
        <f>SmtRes!AE31</f>
        <v>20166.44</v>
      </c>
      <c r="L15">
        <f>I15*K15</f>
        <v>177.464672</v>
      </c>
      <c r="M15">
        <f>SmtRes!AA31</f>
        <v>102243.85</v>
      </c>
      <c r="N15">
        <f>I15*M15</f>
        <v>899.74588</v>
      </c>
      <c r="O15">
        <f>SmtRes!X31</f>
        <v>1086252637</v>
      </c>
      <c r="P15">
        <v>1575176236</v>
      </c>
      <c r="Q15">
        <v>-369465050</v>
      </c>
    </row>
    <row r="16" spans="1:17" ht="12.75">
      <c r="A16">
        <f>Source!A37</f>
        <v>17</v>
      </c>
      <c r="C16">
        <v>3</v>
      </c>
      <c r="D16">
        <v>0</v>
      </c>
      <c r="E16">
        <f>SmtRes!AV30</f>
        <v>0</v>
      </c>
      <c r="F16" t="str">
        <f>SmtRes!I30</f>
        <v>1.1-1-1029</v>
      </c>
      <c r="G16" t="str">
        <f>SmtRes!K30</f>
        <v>СЕТКА ПРОВОЛОЧНАЯ ШТУКАТУРНАЯ ТКАНАЯ, КВАДРАТ 5Х5 ММ, ТОЛЩИНА 1,6 ММ</v>
      </c>
      <c r="H16" t="str">
        <f>SmtRes!O30</f>
        <v>м2</v>
      </c>
      <c r="I16">
        <f>SmtRes!Y30*Source!I37</f>
        <v>380.16</v>
      </c>
      <c r="J16">
        <f>SmtRes!AO30</f>
        <v>1</v>
      </c>
      <c r="K16">
        <f>SmtRes!AE30</f>
        <v>33.56</v>
      </c>
      <c r="L16">
        <f>I16*K16</f>
        <v>12758.169600000001</v>
      </c>
      <c r="M16">
        <f>SmtRes!AA30</f>
        <v>388.29</v>
      </c>
      <c r="N16">
        <f>I16*M16</f>
        <v>147612.32640000002</v>
      </c>
      <c r="O16">
        <f>SmtRes!X30</f>
        <v>821695351</v>
      </c>
      <c r="P16">
        <v>-1150560800</v>
      </c>
      <c r="Q16">
        <v>-226082294</v>
      </c>
    </row>
    <row r="17" spans="1:17" ht="12.75">
      <c r="A17">
        <f>Source!A37</f>
        <v>17</v>
      </c>
      <c r="C17">
        <v>3</v>
      </c>
      <c r="D17">
        <v>0</v>
      </c>
      <c r="E17">
        <f>SmtRes!AV29</f>
        <v>0</v>
      </c>
      <c r="F17" t="str">
        <f>SmtRes!I29</f>
        <v>0.0-0-0</v>
      </c>
      <c r="G17" t="str">
        <f>SmtRes!K29</f>
        <v>СТОИМОСТЬ ПРОЧИХ МАТЕРИАЛОВ (ЭСН)</v>
      </c>
      <c r="H17" t="str">
        <f>SmtRes!O29</f>
        <v>руб.</v>
      </c>
      <c r="I17">
        <f>SmtRes!Y29*Source!I37</f>
        <v>10.56</v>
      </c>
      <c r="J17">
        <f>SmtRes!AO29</f>
        <v>1</v>
      </c>
      <c r="K17">
        <f>SmtRes!AE29</f>
        <v>1</v>
      </c>
      <c r="L17">
        <f>I17*K17</f>
        <v>10.56</v>
      </c>
      <c r="M17">
        <f>SmtRes!AA29</f>
        <v>1</v>
      </c>
      <c r="N17">
        <f>I17*M17</f>
        <v>10.56</v>
      </c>
      <c r="O17">
        <f>SmtRes!X29</f>
        <v>-360884371</v>
      </c>
      <c r="P17">
        <v>-1473565447</v>
      </c>
      <c r="Q17">
        <v>-1473565447</v>
      </c>
    </row>
    <row r="18" spans="1:17" ht="12.75">
      <c r="A18">
        <f>Source!A38</f>
        <v>18</v>
      </c>
      <c r="C18">
        <v>3</v>
      </c>
      <c r="D18">
        <f>Source!BI38</f>
        <v>1</v>
      </c>
      <c r="E18">
        <f>Source!FS38</f>
        <v>0</v>
      </c>
      <c r="F18" t="str">
        <f>Source!F38</f>
        <v>1.3-2-29</v>
      </c>
      <c r="G18" t="str">
        <f>Source!G38</f>
        <v>СМЕСИ СУХИЕ ШТУКАТУРНЫЕ ЦЕМЕНТНО-ИЗВЕСТКОВО-ПЕСЧАНЫЕ ДЛЯ ВНУТРЕННИХ И НАРУЖНЫХ РАБОТ, ДЛЯ РУЧНОГО НАНЕСЕНИЯ:  В7,5 (М100), F50, КРУПНОСТЬ ЗАПОЛНИТЕЛЯ НЕ БОЛЕЕ 0,5 ММ</v>
      </c>
      <c r="H18" t="str">
        <f>Source!H38</f>
        <v>т</v>
      </c>
      <c r="I18">
        <f>Source!I38</f>
        <v>3.6664319999999995</v>
      </c>
      <c r="J18">
        <v>1</v>
      </c>
      <c r="K18">
        <f>Source!AC38</f>
        <v>1517.68</v>
      </c>
      <c r="L18">
        <f>K18*I18</f>
        <v>5564.470517759999</v>
      </c>
      <c r="M18">
        <f>Source!AC38*IF(Source!BC38&lt;&gt;0,Source!BC38,1)</f>
        <v>4386.095200000001</v>
      </c>
      <c r="N18">
        <f>M18*I18</f>
        <v>16081.3197963264</v>
      </c>
      <c r="O18">
        <f>Source!GF38</f>
        <v>-2099913476</v>
      </c>
      <c r="P18">
        <v>1356900276</v>
      </c>
      <c r="Q18">
        <v>363946891</v>
      </c>
    </row>
    <row r="19" spans="1:17" ht="12.75">
      <c r="A19">
        <f>Source!A39</f>
        <v>18</v>
      </c>
      <c r="C19">
        <v>3</v>
      </c>
      <c r="D19">
        <f>Source!BI39</f>
        <v>1</v>
      </c>
      <c r="E19">
        <f>Source!FS39</f>
        <v>0</v>
      </c>
      <c r="F19" t="str">
        <f>Source!F39</f>
        <v>1.3-2-13</v>
      </c>
      <c r="G19" t="str">
        <f>Source!G39</f>
        <v>РАСТВОРЫ ЦЕМЕНТНО-ИЗВЕСТКОВЫЕ, МАРКА 75</v>
      </c>
      <c r="H19" t="str">
        <f>Source!H39</f>
        <v>м3</v>
      </c>
      <c r="I19">
        <f>Source!I39</f>
        <v>9.16608</v>
      </c>
      <c r="J19">
        <v>1</v>
      </c>
      <c r="K19">
        <f>Source!AC39</f>
        <v>481.69</v>
      </c>
      <c r="L19">
        <f>K19*I19</f>
        <v>4415.2090751999995</v>
      </c>
      <c r="M19">
        <f>Source!AC39*IF(Source!BC39&lt;&gt;0,Source!BC39,1)</f>
        <v>3516.337</v>
      </c>
      <c r="N19">
        <f>M19*I19</f>
        <v>32231.026248959995</v>
      </c>
      <c r="O19">
        <f>Source!GF39</f>
        <v>-2108328104</v>
      </c>
      <c r="P19">
        <v>-685459309</v>
      </c>
      <c r="Q19">
        <v>-509070764</v>
      </c>
    </row>
    <row r="20" spans="1:17" ht="12.75">
      <c r="A20">
        <f>Source!A40</f>
        <v>17</v>
      </c>
      <c r="C20">
        <v>3</v>
      </c>
      <c r="D20">
        <v>0</v>
      </c>
      <c r="E20">
        <f>SmtRes!AV37</f>
        <v>0</v>
      </c>
      <c r="F20" t="str">
        <f>SmtRes!I37</f>
        <v>0.0-0-0</v>
      </c>
      <c r="G20" t="str">
        <f>SmtRes!K37</f>
        <v>СТОИМОСТЬ ПРОЧИХ МАТЕРИАЛОВ (ЭСН)</v>
      </c>
      <c r="H20" t="str">
        <f>SmtRes!O37</f>
        <v>руб.</v>
      </c>
      <c r="I20">
        <f>SmtRes!Y37*Source!I40</f>
        <v>12.32</v>
      </c>
      <c r="J20">
        <f>SmtRes!AO37</f>
        <v>1</v>
      </c>
      <c r="K20">
        <f>SmtRes!AE37</f>
        <v>1</v>
      </c>
      <c r="L20">
        <f>I20*K20</f>
        <v>12.32</v>
      </c>
      <c r="M20">
        <f>SmtRes!AA37</f>
        <v>1</v>
      </c>
      <c r="N20">
        <f>I20*M20</f>
        <v>12.32</v>
      </c>
      <c r="O20">
        <f>SmtRes!X37</f>
        <v>-360884371</v>
      </c>
      <c r="P20">
        <v>-1473565447</v>
      </c>
      <c r="Q20">
        <v>-1473565447</v>
      </c>
    </row>
    <row r="21" spans="1:17" ht="12.75">
      <c r="A21">
        <f>Source!A41</f>
        <v>18</v>
      </c>
      <c r="C21">
        <v>3</v>
      </c>
      <c r="D21">
        <f>Source!BI41</f>
        <v>1</v>
      </c>
      <c r="E21">
        <f>Source!FS41</f>
        <v>0</v>
      </c>
      <c r="F21" t="str">
        <f>Source!F41</f>
        <v>1.1-1-341</v>
      </c>
      <c r="G21" t="str">
        <f>Source!G41</f>
        <v>КАТАНКА (ПРОВОЛОКА КАТАНАЯ) ОБЩЕГО НАЗНАЧЕНИЯ (УГЛЕРОДИСТАЯ) СПОКОЙНАЯ, МАРКА БСТ1СП-3СП, ДИАМЕТР 5,5-6,5 ММ</v>
      </c>
      <c r="H21" t="str">
        <f>Source!H41</f>
        <v>т</v>
      </c>
      <c r="I21">
        <f>Source!I41</f>
        <v>1.2672</v>
      </c>
      <c r="J21">
        <v>1</v>
      </c>
      <c r="K21">
        <f>Source!AC41</f>
        <v>4350.01</v>
      </c>
      <c r="L21">
        <f>K21*I21</f>
        <v>5512.3326720000005</v>
      </c>
      <c r="M21">
        <f>Source!AC41*IF(Source!BC41&lt;&gt;0,Source!BC41,1)</f>
        <v>27753.0638</v>
      </c>
      <c r="N21">
        <f>M21*I21</f>
        <v>35168.682447360006</v>
      </c>
      <c r="O21">
        <f>Source!GF41</f>
        <v>1772601939</v>
      </c>
      <c r="P21">
        <v>2068291727</v>
      </c>
      <c r="Q21">
        <v>14355899</v>
      </c>
    </row>
    <row r="22" spans="1:17" ht="12.75">
      <c r="A22">
        <f>Source!A42</f>
        <v>17</v>
      </c>
      <c r="C22">
        <v>3</v>
      </c>
      <c r="D22">
        <v>0</v>
      </c>
      <c r="E22">
        <f>SmtRes!AV47</f>
        <v>0</v>
      </c>
      <c r="F22" t="str">
        <f>SmtRes!I47</f>
        <v>1.1-1-999</v>
      </c>
      <c r="G22" t="str">
        <f>SmtRes!K47</f>
        <v>РАСТВОРИТЕЛЬ 'УАЙТ-СПИРИТ'</v>
      </c>
      <c r="H22" t="str">
        <f>SmtRes!O47</f>
        <v>т</v>
      </c>
      <c r="I22">
        <f>SmtRes!Y47*Source!I42</f>
        <v>0.0352</v>
      </c>
      <c r="J22">
        <f>SmtRes!AO47</f>
        <v>1</v>
      </c>
      <c r="K22">
        <f>SmtRes!AE47</f>
        <v>12534.98</v>
      </c>
      <c r="L22">
        <f>I22*K22</f>
        <v>441.231296</v>
      </c>
      <c r="M22">
        <f>SmtRes!AA47</f>
        <v>45878.03</v>
      </c>
      <c r="N22">
        <f>I22*M22</f>
        <v>1614.906656</v>
      </c>
      <c r="O22">
        <f>SmtRes!X47</f>
        <v>-897705037</v>
      </c>
      <c r="P22">
        <v>-243167835</v>
      </c>
      <c r="Q22">
        <v>958321960</v>
      </c>
    </row>
    <row r="23" spans="1:17" ht="12.75">
      <c r="A23">
        <f>Source!A42</f>
        <v>17</v>
      </c>
      <c r="C23">
        <v>3</v>
      </c>
      <c r="D23">
        <v>0</v>
      </c>
      <c r="E23">
        <f>SmtRes!AV46</f>
        <v>0</v>
      </c>
      <c r="F23" t="str">
        <f>SmtRes!I46</f>
        <v>1.1-1-758</v>
      </c>
      <c r="G23" t="str">
        <f>SmtRes!K46</f>
        <v>ПЕМЗА ШЛАКОВАЯ</v>
      </c>
      <c r="H23" t="str">
        <f>SmtRes!O46</f>
        <v>т</v>
      </c>
      <c r="I23">
        <f>SmtRes!Y46*Source!I42</f>
        <v>0.0008448</v>
      </c>
      <c r="J23">
        <f>SmtRes!AO46</f>
        <v>1</v>
      </c>
      <c r="K23">
        <f>SmtRes!AE46</f>
        <v>176.5</v>
      </c>
      <c r="L23">
        <f>I23*K23</f>
        <v>0.1491072</v>
      </c>
      <c r="M23">
        <f>SmtRes!AA46</f>
        <v>2781.64</v>
      </c>
      <c r="N23">
        <f>I23*M23</f>
        <v>2.349929472</v>
      </c>
      <c r="O23">
        <f>SmtRes!X46</f>
        <v>-1292742975</v>
      </c>
      <c r="P23">
        <v>192531061</v>
      </c>
      <c r="Q23">
        <v>-2856678</v>
      </c>
    </row>
    <row r="24" spans="1:17" ht="12.75">
      <c r="A24">
        <f>Source!A42</f>
        <v>17</v>
      </c>
      <c r="C24">
        <v>3</v>
      </c>
      <c r="D24">
        <v>0</v>
      </c>
      <c r="E24">
        <f>SmtRes!AV44</f>
        <v>0</v>
      </c>
      <c r="F24" t="str">
        <f>SmtRes!I44</f>
        <v>1.1-1-166</v>
      </c>
      <c r="G24" t="str">
        <f>SmtRes!K44</f>
        <v>ГРУНТОВКА ПЕРХЛОРВИНИЛОВАЯ, ХВ</v>
      </c>
      <c r="H24" t="str">
        <f>SmtRes!O44</f>
        <v>т</v>
      </c>
      <c r="I24">
        <f>SmtRes!Y44*Source!I42</f>
        <v>0.0528</v>
      </c>
      <c r="J24">
        <f>SmtRes!AO44</f>
        <v>1</v>
      </c>
      <c r="K24">
        <f>SmtRes!AE44</f>
        <v>11449.85</v>
      </c>
      <c r="L24">
        <f>I24*K24</f>
        <v>604.55208</v>
      </c>
      <c r="M24">
        <f>SmtRes!AA44</f>
        <v>109002.57</v>
      </c>
      <c r="N24">
        <f>I24*M24</f>
        <v>5755.335696</v>
      </c>
      <c r="O24">
        <f>SmtRes!X44</f>
        <v>1281400172</v>
      </c>
      <c r="P24">
        <v>-2083073436</v>
      </c>
      <c r="Q24">
        <v>-1326034136</v>
      </c>
    </row>
    <row r="25" spans="1:17" ht="12.75">
      <c r="A25">
        <f>Source!A42</f>
        <v>17</v>
      </c>
      <c r="C25">
        <v>3</v>
      </c>
      <c r="D25">
        <v>0</v>
      </c>
      <c r="E25">
        <f>SmtRes!AV43</f>
        <v>0</v>
      </c>
      <c r="F25" t="str">
        <f>SmtRes!I43</f>
        <v>1.1-1-1486</v>
      </c>
      <c r="G25" t="str">
        <f>SmtRes!K43</f>
        <v>ШПАТЛЕВКА ПЕРХЛОРВИНИЛОВАЯ, МАРКА ХВ</v>
      </c>
      <c r="H25" t="str">
        <f>SmtRes!O43</f>
        <v>т</v>
      </c>
      <c r="I25">
        <f>SmtRes!Y43*Source!I42</f>
        <v>0.04224</v>
      </c>
      <c r="J25">
        <f>SmtRes!AO43</f>
        <v>1</v>
      </c>
      <c r="K25">
        <f>SmtRes!AE43</f>
        <v>10697.76</v>
      </c>
      <c r="L25">
        <f>I25*K25</f>
        <v>451.8733824</v>
      </c>
      <c r="M25">
        <f>SmtRes!AA43</f>
        <v>96921.71</v>
      </c>
      <c r="N25">
        <f>I25*M25</f>
        <v>4093.9730304000004</v>
      </c>
      <c r="O25">
        <f>SmtRes!X43</f>
        <v>1454788397</v>
      </c>
      <c r="P25">
        <v>-570871425</v>
      </c>
      <c r="Q25">
        <v>1346721355</v>
      </c>
    </row>
    <row r="26" spans="1:17" ht="12.75">
      <c r="A26">
        <f>Source!A42</f>
        <v>17</v>
      </c>
      <c r="C26">
        <v>3</v>
      </c>
      <c r="D26">
        <v>0</v>
      </c>
      <c r="E26">
        <f>SmtRes!AV42</f>
        <v>0</v>
      </c>
      <c r="F26" t="str">
        <f>SmtRes!I42</f>
        <v>1.1-1-115</v>
      </c>
      <c r="G26" t="str">
        <f>SmtRes!K42</f>
        <v>ВЕТОШЬ</v>
      </c>
      <c r="H26" t="str">
        <f>SmtRes!O42</f>
        <v>кг</v>
      </c>
      <c r="I26">
        <f>SmtRes!Y42*Source!I42</f>
        <v>1.4431999999999998</v>
      </c>
      <c r="J26">
        <f>SmtRes!AO42</f>
        <v>1</v>
      </c>
      <c r="K26">
        <f>SmtRes!AE42</f>
        <v>1.61</v>
      </c>
      <c r="L26">
        <f>I26*K26</f>
        <v>2.323552</v>
      </c>
      <c r="M26">
        <f>SmtRes!AA42</f>
        <v>45.89</v>
      </c>
      <c r="N26">
        <f>I26*M26</f>
        <v>66.22844799999999</v>
      </c>
      <c r="O26">
        <f>SmtRes!X42</f>
        <v>626593577</v>
      </c>
      <c r="P26">
        <v>-923004868</v>
      </c>
      <c r="Q26">
        <v>-2027754088</v>
      </c>
    </row>
    <row r="27" spans="1:17" ht="12.75">
      <c r="A27">
        <f>Source!A43</f>
        <v>18</v>
      </c>
      <c r="C27">
        <v>3</v>
      </c>
      <c r="D27">
        <f>Source!BI43</f>
        <v>1</v>
      </c>
      <c r="E27">
        <f>Source!FS43</f>
        <v>0</v>
      </c>
      <c r="F27" t="str">
        <f>Source!F43</f>
        <v>1.1-1-450</v>
      </c>
      <c r="G27" t="str">
        <f>Source!G43</f>
        <v>КРАСКИ ФАСАДНЫЕ ПЕРХЛОРВИНИЛОВЫЕ, МАРКА ХВ161 'А' (ЦВЕТНАЯ)</v>
      </c>
      <c r="H27" t="str">
        <f>Source!H43</f>
        <v>т</v>
      </c>
      <c r="I27">
        <f>Source!I43</f>
        <v>0.20768</v>
      </c>
      <c r="J27">
        <v>1</v>
      </c>
      <c r="K27">
        <f>Source!AC43</f>
        <v>16138.28</v>
      </c>
      <c r="L27">
        <f>K27*I27</f>
        <v>3351.5979904</v>
      </c>
      <c r="M27">
        <f>Source!AC43*IF(Source!BC43&lt;&gt;0,Source!BC43,1)</f>
        <v>84725.97</v>
      </c>
      <c r="N27">
        <f>M27*I27</f>
        <v>17595.8894496</v>
      </c>
      <c r="O27">
        <f>Source!GF43</f>
        <v>-1103049749</v>
      </c>
      <c r="P27">
        <v>-926033823</v>
      </c>
      <c r="Q27">
        <v>704971849</v>
      </c>
    </row>
    <row r="28" ht="12.75">
      <c r="A28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8" width="12.7109375" style="0" customWidth="1"/>
    <col min="15" max="15" width="127.7109375" style="0" hidden="1" customWidth="1"/>
    <col min="16" max="17" width="0" style="0" hidden="1" customWidth="1"/>
  </cols>
  <sheetData>
    <row r="2" spans="1:15" ht="16.5">
      <c r="A2" s="90" t="s">
        <v>331</v>
      </c>
      <c r="B2" s="91"/>
      <c r="C2" s="91"/>
      <c r="D2" s="91"/>
      <c r="E2" s="91"/>
      <c r="F2" s="91"/>
      <c r="G2" s="91"/>
      <c r="H2" s="91"/>
      <c r="O2" s="58" t="s">
        <v>331</v>
      </c>
    </row>
    <row r="3" spans="1:15" ht="16.5">
      <c r="A3" s="90" t="str">
        <f>CONCATENATE("Объект: ",IF(Source!G71&lt;&gt;"Новый объект",Source!G71,""))</f>
        <v>Объект: Ремонт опорной стены у корп. 1106</v>
      </c>
      <c r="B3" s="91"/>
      <c r="C3" s="91"/>
      <c r="D3" s="91"/>
      <c r="E3" s="91"/>
      <c r="F3" s="91"/>
      <c r="G3" s="91"/>
      <c r="H3" s="91"/>
      <c r="O3" s="58" t="s">
        <v>332</v>
      </c>
    </row>
    <row r="4" spans="1:8" ht="12.75">
      <c r="A4" s="92" t="s">
        <v>333</v>
      </c>
      <c r="B4" s="92" t="s">
        <v>334</v>
      </c>
      <c r="C4" s="92" t="s">
        <v>273</v>
      </c>
      <c r="D4" s="92" t="s">
        <v>335</v>
      </c>
      <c r="E4" s="82" t="s">
        <v>336</v>
      </c>
      <c r="F4" s="83"/>
      <c r="G4" s="82" t="s">
        <v>339</v>
      </c>
      <c r="H4" s="83"/>
    </row>
    <row r="5" spans="1:8" ht="12.75">
      <c r="A5" s="93"/>
      <c r="B5" s="93"/>
      <c r="C5" s="93"/>
      <c r="D5" s="93"/>
      <c r="E5" s="84"/>
      <c r="F5" s="85"/>
      <c r="G5" s="84"/>
      <c r="H5" s="85"/>
    </row>
    <row r="6" spans="1:8" ht="14.25">
      <c r="A6" s="94"/>
      <c r="B6" s="94"/>
      <c r="C6" s="94"/>
      <c r="D6" s="94"/>
      <c r="E6" s="24" t="s">
        <v>337</v>
      </c>
      <c r="F6" s="24" t="s">
        <v>338</v>
      </c>
      <c r="G6" s="24" t="s">
        <v>337</v>
      </c>
      <c r="H6" s="24" t="s">
        <v>338</v>
      </c>
    </row>
    <row r="7" spans="1:8" ht="14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ht="14.25">
      <c r="A8" s="86" t="s">
        <v>340</v>
      </c>
      <c r="B8" s="87"/>
      <c r="C8" s="87"/>
      <c r="D8" s="87"/>
      <c r="E8" s="87"/>
      <c r="F8" s="87"/>
      <c r="G8" s="87"/>
      <c r="H8" s="87"/>
    </row>
    <row r="9" spans="1:17" ht="28.5">
      <c r="A9" s="59" t="s">
        <v>174</v>
      </c>
      <c r="B9" s="51" t="s">
        <v>210</v>
      </c>
      <c r="C9" s="51" t="s">
        <v>177</v>
      </c>
      <c r="D9" s="52">
        <f>ROUND(SUMIF(RV_DATA!Q6:RV_DATA!Q27,-1473565447,RV_DATA!I6:RV_DATA!I27),6)</f>
        <v>22.88</v>
      </c>
      <c r="E9" s="60">
        <f>SmtRes!AE29</f>
        <v>1</v>
      </c>
      <c r="F9" s="60">
        <f>ROUND(SUMIF(RV_DATA!Q6:RV_DATA!Q27,-1473565447,RV_DATA!L6:RV_DATA!L27),6)</f>
        <v>22.88</v>
      </c>
      <c r="G9" s="60">
        <f>SmtRes!AA29</f>
        <v>1</v>
      </c>
      <c r="H9" s="60">
        <f>ROUND(SUMIF(RV_DATA!Q6:RV_DATA!Q27,-1473565447,RV_DATA!N6:RV_DATA!N27),6)</f>
        <v>22.88</v>
      </c>
      <c r="Q9">
        <v>3</v>
      </c>
    </row>
    <row r="10" spans="1:17" ht="42.75">
      <c r="A10" s="59" t="s">
        <v>211</v>
      </c>
      <c r="B10" s="51" t="s">
        <v>213</v>
      </c>
      <c r="C10" s="51" t="s">
        <v>197</v>
      </c>
      <c r="D10" s="52">
        <f>ROUND(SUMIF(RV_DATA!Q6:RV_DATA!Q27,-226082294,RV_DATA!I6:RV_DATA!I27),6)</f>
        <v>380.16</v>
      </c>
      <c r="E10" s="60">
        <f>SmtRes!AE30</f>
        <v>33.56</v>
      </c>
      <c r="F10" s="60">
        <f>ROUND(SUMIF(RV_DATA!Q6:RV_DATA!Q27,-226082294,RV_DATA!L6:RV_DATA!L27),6)</f>
        <v>12758.1696</v>
      </c>
      <c r="G10" s="60">
        <f>SmtRes!AA30</f>
        <v>388.29</v>
      </c>
      <c r="H10" s="60">
        <f>ROUND(SUMIF(RV_DATA!Q6:RV_DATA!Q27,-226082294,RV_DATA!N6:RV_DATA!N27),6)</f>
        <v>147612.3264</v>
      </c>
      <c r="Q10">
        <v>3</v>
      </c>
    </row>
    <row r="11" spans="1:17" ht="14.25">
      <c r="A11" s="59" t="s">
        <v>224</v>
      </c>
      <c r="B11" s="51" t="s">
        <v>226</v>
      </c>
      <c r="C11" s="51" t="s">
        <v>220</v>
      </c>
      <c r="D11" s="52">
        <f>ROUND(SUMIF(RV_DATA!Q6:RV_DATA!Q27,-2027754088,RV_DATA!I6:RV_DATA!I27),6)</f>
        <v>1.4432</v>
      </c>
      <c r="E11" s="60">
        <f>SmtRes!AE42</f>
        <v>1.61</v>
      </c>
      <c r="F11" s="60">
        <f>ROUND(SUMIF(RV_DATA!Q6:RV_DATA!Q27,-2027754088,RV_DATA!L6:RV_DATA!L27),6)</f>
        <v>2.323552</v>
      </c>
      <c r="G11" s="60">
        <f>SmtRes!AA42</f>
        <v>45.89</v>
      </c>
      <c r="H11" s="60">
        <f>ROUND(SUMIF(RV_DATA!Q6:RV_DATA!Q27,-2027754088,RV_DATA!N6:RV_DATA!N27),6)</f>
        <v>66.228448</v>
      </c>
      <c r="Q11">
        <v>3</v>
      </c>
    </row>
    <row r="12" spans="1:17" ht="14.25">
      <c r="A12" s="59" t="s">
        <v>191</v>
      </c>
      <c r="B12" s="51" t="s">
        <v>193</v>
      </c>
      <c r="C12" s="51" t="s">
        <v>59</v>
      </c>
      <c r="D12" s="52">
        <f>ROUND(SUMIF(RV_DATA!Q6:RV_DATA!Q27,1058570892,RV_DATA!I6:RV_DATA!I27),6)</f>
        <v>1.7775</v>
      </c>
      <c r="E12" s="60">
        <f>SmtRes!AE14</f>
        <v>7.07</v>
      </c>
      <c r="F12" s="60">
        <f>ROUND(SUMIF(RV_DATA!Q6:RV_DATA!Q27,1058570892,RV_DATA!L6:RV_DATA!L27),6)</f>
        <v>12.566925</v>
      </c>
      <c r="G12" s="60">
        <f>SmtRes!AA14</f>
        <v>28.14</v>
      </c>
      <c r="H12" s="60">
        <f>ROUND(SUMIF(RV_DATA!Q6:RV_DATA!Q27,1058570892,RV_DATA!N6:RV_DATA!N27),6)</f>
        <v>50.01885</v>
      </c>
      <c r="Q12">
        <v>3</v>
      </c>
    </row>
    <row r="13" spans="1:17" ht="28.5">
      <c r="A13" s="59" t="s">
        <v>227</v>
      </c>
      <c r="B13" s="51" t="s">
        <v>229</v>
      </c>
      <c r="C13" s="51" t="s">
        <v>23</v>
      </c>
      <c r="D13" s="52">
        <f>ROUND(SUMIF(RV_DATA!Q6:RV_DATA!Q27,1346721355,RV_DATA!I6:RV_DATA!I27),6)</f>
        <v>0.04224</v>
      </c>
      <c r="E13" s="60">
        <f>SmtRes!AE43</f>
        <v>10697.76</v>
      </c>
      <c r="F13" s="60">
        <f>ROUND(SUMIF(RV_DATA!Q6:RV_DATA!Q27,1346721355,RV_DATA!L6:RV_DATA!L27),6)</f>
        <v>451.873382</v>
      </c>
      <c r="G13" s="60">
        <f>SmtRes!AA43</f>
        <v>96921.71</v>
      </c>
      <c r="H13" s="60">
        <f>ROUND(SUMIF(RV_DATA!Q6:RV_DATA!Q27,1346721355,RV_DATA!N6:RV_DATA!N27),6)</f>
        <v>4093.97303</v>
      </c>
      <c r="Q13">
        <v>3</v>
      </c>
    </row>
    <row r="14" spans="1:17" ht="28.5">
      <c r="A14" s="59" t="s">
        <v>230</v>
      </c>
      <c r="B14" s="51" t="s">
        <v>232</v>
      </c>
      <c r="C14" s="51" t="s">
        <v>23</v>
      </c>
      <c r="D14" s="52">
        <f>ROUND(SUMIF(RV_DATA!Q6:RV_DATA!Q27,-1326034136,RV_DATA!I6:RV_DATA!I27),6)</f>
        <v>0.0528</v>
      </c>
      <c r="E14" s="60">
        <f>SmtRes!AE44</f>
        <v>11449.85</v>
      </c>
      <c r="F14" s="60">
        <f>ROUND(SUMIF(RV_DATA!Q6:RV_DATA!Q27,-1326034136,RV_DATA!L6:RV_DATA!L27),6)</f>
        <v>604.55208</v>
      </c>
      <c r="G14" s="60">
        <f>SmtRes!AA44</f>
        <v>109002.57</v>
      </c>
      <c r="H14" s="60">
        <f>ROUND(SUMIF(RV_DATA!Q6:RV_DATA!Q27,-1326034136,RV_DATA!N6:RV_DATA!N27),6)</f>
        <v>5755.335696</v>
      </c>
      <c r="Q14">
        <v>3</v>
      </c>
    </row>
    <row r="15" spans="1:17" ht="28.5">
      <c r="A15" s="59" t="s">
        <v>214</v>
      </c>
      <c r="B15" s="51" t="s">
        <v>216</v>
      </c>
      <c r="C15" s="51" t="s">
        <v>23</v>
      </c>
      <c r="D15" s="52">
        <f>ROUND(SUMIF(RV_DATA!Q6:RV_DATA!Q27,-369465050,RV_DATA!I6:RV_DATA!I27),6)</f>
        <v>0.0088</v>
      </c>
      <c r="E15" s="60">
        <f>SmtRes!AE31</f>
        <v>20166.44</v>
      </c>
      <c r="F15" s="60">
        <f>ROUND(SUMIF(RV_DATA!Q6:RV_DATA!Q27,-369465050,RV_DATA!L6:RV_DATA!L27),6)</f>
        <v>177.464672</v>
      </c>
      <c r="G15" s="60">
        <f>SmtRes!AA31</f>
        <v>102243.85</v>
      </c>
      <c r="H15" s="60">
        <f>ROUND(SUMIF(RV_DATA!Q6:RV_DATA!Q27,-369465050,RV_DATA!N6:RV_DATA!N27),6)</f>
        <v>899.74588</v>
      </c>
      <c r="Q15">
        <v>3</v>
      </c>
    </row>
    <row r="16" spans="1:17" ht="71.25">
      <c r="A16" s="59" t="s">
        <v>103</v>
      </c>
      <c r="B16" s="51" t="s">
        <v>104</v>
      </c>
      <c r="C16" s="51" t="s">
        <v>23</v>
      </c>
      <c r="D16" s="52">
        <f>ROUND(SUMIF(RV_DATA!Q6:RV_DATA!Q27,14355899,RV_DATA!I6:RV_DATA!I27),6)</f>
        <v>1.2672</v>
      </c>
      <c r="E16" s="60">
        <f>Source!AC41</f>
        <v>4350.01</v>
      </c>
      <c r="F16" s="60">
        <f>ROUND(SUMIF(RV_DATA!Q6:RV_DATA!Q27,14355899,RV_DATA!L6:RV_DATA!L27),6)</f>
        <v>5512.332672</v>
      </c>
      <c r="G16" s="60">
        <f>Source!AC41*IF(Source!BC41&lt;&gt;0,Source!BC41,1)</f>
        <v>27753.0638</v>
      </c>
      <c r="H16" s="60">
        <f>ROUND(SUMIF(RV_DATA!Q6:RV_DATA!Q27,14355899,RV_DATA!N6:RV_DATA!N27),6)</f>
        <v>35168.682447</v>
      </c>
      <c r="Q16">
        <v>3</v>
      </c>
    </row>
    <row r="17" spans="1:17" ht="42.75">
      <c r="A17" s="59" t="s">
        <v>76</v>
      </c>
      <c r="B17" s="51" t="s">
        <v>77</v>
      </c>
      <c r="C17" s="51" t="s">
        <v>78</v>
      </c>
      <c r="D17" s="52">
        <f>ROUND(SUMIF(RV_DATA!Q6:RV_DATA!Q27,-2102142174,RV_DATA!I6:RV_DATA!I27),6)</f>
        <v>1.52</v>
      </c>
      <c r="E17" s="60">
        <f>Source!AC35</f>
        <v>1043.55</v>
      </c>
      <c r="F17" s="60">
        <f>ROUND(SUMIF(RV_DATA!Q6:RV_DATA!Q27,-2102142174,RV_DATA!L6:RV_DATA!L27),6)</f>
        <v>1586.196</v>
      </c>
      <c r="G17" s="60">
        <f>Source!AC35*IF(Source!BC35&lt;&gt;0,Source!BC35,1)</f>
        <v>9694.579499999998</v>
      </c>
      <c r="H17" s="60">
        <f>ROUND(SUMIF(RV_DATA!Q6:RV_DATA!Q27,-2102142174,RV_DATA!N6:RV_DATA!N27),6)</f>
        <v>14735.76084</v>
      </c>
      <c r="Q17">
        <v>3</v>
      </c>
    </row>
    <row r="18" spans="1:17" ht="42.75">
      <c r="A18" s="59" t="s">
        <v>113</v>
      </c>
      <c r="B18" s="51" t="s">
        <v>114</v>
      </c>
      <c r="C18" s="51" t="s">
        <v>23</v>
      </c>
      <c r="D18" s="52">
        <f>ROUND(SUMIF(RV_DATA!Q6:RV_DATA!Q27,704971849,RV_DATA!I6:RV_DATA!I27),6)</f>
        <v>0.20768</v>
      </c>
      <c r="E18" s="60">
        <f>Source!AC43</f>
        <v>16138.28</v>
      </c>
      <c r="F18" s="60">
        <f>ROUND(SUMIF(RV_DATA!Q6:RV_DATA!Q27,704971849,RV_DATA!L6:RV_DATA!L27),6)</f>
        <v>3351.59799</v>
      </c>
      <c r="G18" s="60">
        <f>Source!AC43*IF(Source!BC43&lt;&gt;0,Source!BC43,1)</f>
        <v>84725.97</v>
      </c>
      <c r="H18" s="60">
        <f>ROUND(SUMIF(RV_DATA!Q6:RV_DATA!Q27,704971849,RV_DATA!N6:RV_DATA!N27),6)</f>
        <v>17595.88945</v>
      </c>
      <c r="Q18">
        <v>3</v>
      </c>
    </row>
    <row r="19" spans="1:17" ht="14.25">
      <c r="A19" s="59" t="s">
        <v>194</v>
      </c>
      <c r="B19" s="51" t="s">
        <v>196</v>
      </c>
      <c r="C19" s="51" t="s">
        <v>197</v>
      </c>
      <c r="D19" s="52">
        <f>ROUND(SUMIF(RV_DATA!Q6:RV_DATA!Q27,-872868917,RV_DATA!I6:RV_DATA!I27),6)</f>
        <v>2.5</v>
      </c>
      <c r="E19" s="60">
        <f>SmtRes!AE15</f>
        <v>7.39</v>
      </c>
      <c r="F19" s="60">
        <f>ROUND(SUMIF(RV_DATA!Q6:RV_DATA!Q27,-872868917,RV_DATA!L6:RV_DATA!L27),6)</f>
        <v>18.475</v>
      </c>
      <c r="G19" s="60">
        <f>SmtRes!AA15</f>
        <v>28.38</v>
      </c>
      <c r="H19" s="60">
        <f>ROUND(SUMIF(RV_DATA!Q6:RV_DATA!Q27,-872868917,RV_DATA!N6:RV_DATA!N27),6)</f>
        <v>70.95</v>
      </c>
      <c r="Q19">
        <v>3</v>
      </c>
    </row>
    <row r="20" spans="1:17" ht="14.25">
      <c r="A20" s="59" t="s">
        <v>217</v>
      </c>
      <c r="B20" s="51" t="s">
        <v>219</v>
      </c>
      <c r="C20" s="51" t="s">
        <v>220</v>
      </c>
      <c r="D20" s="52">
        <f>ROUND(SUMIF(RV_DATA!Q6:RV_DATA!Q27,-1292411883,RV_DATA!I6:RV_DATA!I27),6)</f>
        <v>42.24</v>
      </c>
      <c r="E20" s="60">
        <f>SmtRes!AE32</f>
        <v>9.86</v>
      </c>
      <c r="F20" s="60">
        <f>ROUND(SUMIF(RV_DATA!Q6:RV_DATA!Q27,-1292411883,RV_DATA!L6:RV_DATA!L27),6)</f>
        <v>416.4864</v>
      </c>
      <c r="G20" s="60">
        <f>SmtRes!AA32</f>
        <v>57.09</v>
      </c>
      <c r="H20" s="60">
        <f>ROUND(SUMIF(RV_DATA!Q6:RV_DATA!Q27,-1292411883,RV_DATA!N6:RV_DATA!N27),6)</f>
        <v>2411.4816</v>
      </c>
      <c r="Q20">
        <v>3</v>
      </c>
    </row>
    <row r="21" spans="1:17" ht="14.25">
      <c r="A21" s="59" t="s">
        <v>233</v>
      </c>
      <c r="B21" s="51" t="s">
        <v>235</v>
      </c>
      <c r="C21" s="51" t="s">
        <v>23</v>
      </c>
      <c r="D21" s="52">
        <f>ROUND(SUMIF(RV_DATA!Q6:RV_DATA!Q27,-2856678,RV_DATA!I6:RV_DATA!I27),6)</f>
        <v>0.000845</v>
      </c>
      <c r="E21" s="60">
        <f>SmtRes!AE46</f>
        <v>176.5</v>
      </c>
      <c r="F21" s="60">
        <f>ROUND(SUMIF(RV_DATA!Q6:RV_DATA!Q27,-2856678,RV_DATA!L6:RV_DATA!L27),6)</f>
        <v>0.149107</v>
      </c>
      <c r="G21" s="60">
        <f>SmtRes!AA46</f>
        <v>2781.64</v>
      </c>
      <c r="H21" s="60">
        <f>ROUND(SUMIF(RV_DATA!Q6:RV_DATA!Q27,-2856678,RV_DATA!N6:RV_DATA!N27),6)</f>
        <v>2.349929</v>
      </c>
      <c r="Q21">
        <v>3</v>
      </c>
    </row>
    <row r="22" spans="1:17" ht="42.75">
      <c r="A22" s="59" t="s">
        <v>207</v>
      </c>
      <c r="B22" s="51" t="s">
        <v>209</v>
      </c>
      <c r="C22" s="51" t="s">
        <v>59</v>
      </c>
      <c r="D22" s="52">
        <f>ROUND(SUMIF(RV_DATA!Q6:RV_DATA!Q27,-462368445,RV_DATA!I6:RV_DATA!I27),6)</f>
        <v>0.002</v>
      </c>
      <c r="E22" s="60">
        <f>SmtRes!AE25</f>
        <v>2472.13</v>
      </c>
      <c r="F22" s="60">
        <f>ROUND(SUMIF(RV_DATA!Q6:RV_DATA!Q27,-462368445,RV_DATA!L6:RV_DATA!L27),6)</f>
        <v>4.94426</v>
      </c>
      <c r="G22" s="60">
        <f>SmtRes!AA25</f>
        <v>5364.52</v>
      </c>
      <c r="H22" s="60">
        <f>ROUND(SUMIF(RV_DATA!Q6:RV_DATA!Q27,-462368445,RV_DATA!N6:RV_DATA!N27),6)</f>
        <v>10.72904</v>
      </c>
      <c r="Q22">
        <v>3</v>
      </c>
    </row>
    <row r="23" spans="1:17" ht="14.25">
      <c r="A23" s="59" t="s">
        <v>236</v>
      </c>
      <c r="B23" s="51" t="s">
        <v>238</v>
      </c>
      <c r="C23" s="51" t="s">
        <v>23</v>
      </c>
      <c r="D23" s="52">
        <f>ROUND(SUMIF(RV_DATA!Q6:RV_DATA!Q27,958321960,RV_DATA!I6:RV_DATA!I27),6)</f>
        <v>0.0352</v>
      </c>
      <c r="E23" s="60">
        <f>SmtRes!AE47</f>
        <v>12534.98</v>
      </c>
      <c r="F23" s="60">
        <f>ROUND(SUMIF(RV_DATA!Q6:RV_DATA!Q27,958321960,RV_DATA!L6:RV_DATA!L27),6)</f>
        <v>441.231296</v>
      </c>
      <c r="G23" s="60">
        <f>SmtRes!AA47</f>
        <v>45878.03</v>
      </c>
      <c r="H23" s="60">
        <f>ROUND(SUMIF(RV_DATA!Q6:RV_DATA!Q27,958321960,RV_DATA!N6:RV_DATA!N27),6)</f>
        <v>1614.906656</v>
      </c>
      <c r="Q23">
        <v>3</v>
      </c>
    </row>
    <row r="24" spans="1:17" ht="71.25">
      <c r="A24" s="59" t="s">
        <v>57</v>
      </c>
      <c r="B24" s="51" t="s">
        <v>58</v>
      </c>
      <c r="C24" s="51" t="s">
        <v>59</v>
      </c>
      <c r="D24" s="52">
        <f>ROUND(SUMIF(RV_DATA!Q6:RV_DATA!Q27,-269905632,RV_DATA!I6:RV_DATA!I27),6)</f>
        <v>1.02</v>
      </c>
      <c r="E24" s="60">
        <f>Source!AC31</f>
        <v>704.89</v>
      </c>
      <c r="F24" s="60">
        <f>ROUND(SUMIF(RV_DATA!Q6:RV_DATA!Q27,-269905632,RV_DATA!L6:RV_DATA!L27),6)</f>
        <v>718.9878</v>
      </c>
      <c r="G24" s="60">
        <f>Source!AC31*IF(Source!BC31&lt;&gt;0,Source!BC31,1)</f>
        <v>3207.2495</v>
      </c>
      <c r="H24" s="60">
        <f>ROUND(SUMIF(RV_DATA!Q6:RV_DATA!Q27,-269905632,RV_DATA!N6:RV_DATA!N27),6)</f>
        <v>3271.39449</v>
      </c>
      <c r="Q24">
        <v>3</v>
      </c>
    </row>
    <row r="25" spans="1:17" ht="28.5">
      <c r="A25" s="59" t="s">
        <v>95</v>
      </c>
      <c r="B25" s="51" t="s">
        <v>96</v>
      </c>
      <c r="C25" s="51" t="s">
        <v>59</v>
      </c>
      <c r="D25" s="52">
        <f>ROUND(SUMIF(RV_DATA!Q6:RV_DATA!Q27,-509070764,RV_DATA!I6:RV_DATA!I27),6)</f>
        <v>9.16608</v>
      </c>
      <c r="E25" s="60">
        <f>Source!AC39</f>
        <v>481.69</v>
      </c>
      <c r="F25" s="60">
        <f>ROUND(SUMIF(RV_DATA!Q6:RV_DATA!Q27,-509070764,RV_DATA!L6:RV_DATA!L27),6)</f>
        <v>4415.209075</v>
      </c>
      <c r="G25" s="60">
        <f>Source!AC39*IF(Source!BC39&lt;&gt;0,Source!BC39,1)</f>
        <v>3516.337</v>
      </c>
      <c r="H25" s="60">
        <f>ROUND(SUMIF(RV_DATA!Q6:RV_DATA!Q27,-509070764,RV_DATA!N6:RV_DATA!N27),6)</f>
        <v>32231.026249</v>
      </c>
      <c r="Q25">
        <v>3</v>
      </c>
    </row>
    <row r="26" spans="1:17" ht="28.5">
      <c r="A26" s="59" t="s">
        <v>81</v>
      </c>
      <c r="B26" s="51" t="s">
        <v>82</v>
      </c>
      <c r="C26" s="51" t="s">
        <v>59</v>
      </c>
      <c r="D26" s="52">
        <f>ROUND(SUMIF(RV_DATA!Q6:RV_DATA!Q27,-896019370,RV_DATA!I6:RV_DATA!I27),6)</f>
        <v>0.96</v>
      </c>
      <c r="E26" s="60">
        <f>Source!AC36</f>
        <v>477.64</v>
      </c>
      <c r="F26" s="60">
        <f>ROUND(SUMIF(RV_DATA!Q6:RV_DATA!Q27,-896019370,RV_DATA!L6:RV_DATA!L27),6)</f>
        <v>458.5344</v>
      </c>
      <c r="G26" s="60">
        <f>Source!AC36*IF(Source!BC36&lt;&gt;0,Source!BC36,1)</f>
        <v>3300.4924</v>
      </c>
      <c r="H26" s="60">
        <f>ROUND(SUMIF(RV_DATA!Q6:RV_DATA!Q27,-896019370,RV_DATA!N6:RV_DATA!N27),6)</f>
        <v>3168.472704</v>
      </c>
      <c r="Q26">
        <v>3</v>
      </c>
    </row>
    <row r="27" spans="1:17" ht="99.75">
      <c r="A27" s="59" t="s">
        <v>91</v>
      </c>
      <c r="B27" s="51" t="s">
        <v>92</v>
      </c>
      <c r="C27" s="51" t="s">
        <v>23</v>
      </c>
      <c r="D27" s="52">
        <f>ROUND(SUMIF(RV_DATA!Q6:RV_DATA!Q27,363946891,RV_DATA!I6:RV_DATA!I27),6)</f>
        <v>3.666432</v>
      </c>
      <c r="E27" s="60">
        <f>Source!AC38</f>
        <v>1517.68</v>
      </c>
      <c r="F27" s="60">
        <f>ROUND(SUMIF(RV_DATA!Q6:RV_DATA!Q27,363946891,RV_DATA!L6:RV_DATA!L27),6)</f>
        <v>5564.470518</v>
      </c>
      <c r="G27" s="60">
        <f>Source!AC38*IF(Source!BC38&lt;&gt;0,Source!BC38,1)</f>
        <v>4386.095200000001</v>
      </c>
      <c r="H27" s="60">
        <f>ROUND(SUMIF(RV_DATA!Q6:RV_DATA!Q27,363946891,RV_DATA!N6:RV_DATA!N27),6)</f>
        <v>16081.319796</v>
      </c>
      <c r="Q27">
        <v>3</v>
      </c>
    </row>
    <row r="28" spans="1:8" ht="15">
      <c r="A28" s="88" t="s">
        <v>341</v>
      </c>
      <c r="B28" s="88"/>
      <c r="C28" s="88"/>
      <c r="D28" s="88"/>
      <c r="E28" s="89">
        <f>SUMIF(Q9:Q27,3,F9:F27)</f>
        <v>36518.444728999995</v>
      </c>
      <c r="F28" s="89"/>
      <c r="G28" s="89">
        <f>SUMIF(Q9:Q27,3,H9:H27)</f>
        <v>284863.471505</v>
      </c>
      <c r="H28" s="88"/>
    </row>
  </sheetData>
  <sheetProtection/>
  <mergeCells count="12">
    <mergeCell ref="A2:H2"/>
    <mergeCell ref="A3:H3"/>
    <mergeCell ref="A4:A6"/>
    <mergeCell ref="B4:B6"/>
    <mergeCell ref="C4:C6"/>
    <mergeCell ref="D4:D6"/>
    <mergeCell ref="E4:F5"/>
    <mergeCell ref="G4:H5"/>
    <mergeCell ref="A8:H8"/>
    <mergeCell ref="A28:D28"/>
    <mergeCell ref="E28:F28"/>
    <mergeCell ref="G28:H28"/>
  </mergeCells>
  <printOptions/>
  <pageMargins left="0.6" right="0.4" top="0.65" bottom="0.4" header="0.4" footer="0.4"/>
  <pageSetup horizontalDpi="600" verticalDpi="600" orientation="portrait" paperSize="9" scale="72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R108"/>
  <sheetViews>
    <sheetView zoomScalePageLayoutView="0" workbookViewId="0" topLeftCell="A1">
      <selection activeCell="A104" sqref="A104:Z104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0</v>
      </c>
      <c r="L1">
        <v>30337</v>
      </c>
      <c r="M1">
        <v>10</v>
      </c>
    </row>
    <row r="12" spans="1:133" ht="12.75">
      <c r="A12" s="1">
        <v>1</v>
      </c>
      <c r="B12" s="1">
        <v>103</v>
      </c>
      <c r="C12" s="1">
        <v>0</v>
      </c>
      <c r="D12" s="1">
        <f>ROW(A71)</f>
        <v>71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167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1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8200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2">
        <v>52</v>
      </c>
      <c r="B18" s="2">
        <f aca="true" t="shared" si="0" ref="B18:G18">B71</f>
        <v>103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Ремонт опорной стены у корп. 1106</v>
      </c>
      <c r="H18" s="2"/>
      <c r="I18" s="2"/>
      <c r="J18" s="2"/>
      <c r="K18" s="2"/>
      <c r="L18" s="2"/>
      <c r="M18" s="2"/>
      <c r="N18" s="2"/>
      <c r="O18" s="2">
        <f aca="true" t="shared" si="1" ref="O18:AT18">O71</f>
        <v>484965.61</v>
      </c>
      <c r="P18" s="2">
        <f t="shared" si="1"/>
        <v>284978.43</v>
      </c>
      <c r="Q18" s="2">
        <f t="shared" si="1"/>
        <v>23907.26</v>
      </c>
      <c r="R18" s="2">
        <f t="shared" si="1"/>
        <v>8378.74</v>
      </c>
      <c r="S18" s="2">
        <f t="shared" si="1"/>
        <v>176079.92</v>
      </c>
      <c r="T18" s="2">
        <f t="shared" si="1"/>
        <v>0</v>
      </c>
      <c r="U18" s="2">
        <f t="shared" si="1"/>
        <v>905.3946199999999</v>
      </c>
      <c r="V18" s="2">
        <f t="shared" si="1"/>
        <v>0</v>
      </c>
      <c r="W18" s="2">
        <f t="shared" si="1"/>
        <v>0</v>
      </c>
      <c r="X18" s="2">
        <f t="shared" si="1"/>
        <v>144785.77</v>
      </c>
      <c r="Y18" s="2">
        <f t="shared" si="1"/>
        <v>77475.16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721219.04</v>
      </c>
      <c r="AS18" s="2">
        <f t="shared" si="1"/>
        <v>713045.45</v>
      </c>
      <c r="AT18" s="2">
        <f t="shared" si="1"/>
        <v>0</v>
      </c>
      <c r="AU18" s="2">
        <f aca="true" t="shared" si="2" ref="AU18:BZ18">AU71</f>
        <v>8173.59</v>
      </c>
      <c r="AV18" s="2">
        <f t="shared" si="2"/>
        <v>284978.43</v>
      </c>
      <c r="AW18" s="2">
        <f t="shared" si="2"/>
        <v>284978.43</v>
      </c>
      <c r="AX18" s="2">
        <f t="shared" si="2"/>
        <v>0</v>
      </c>
      <c r="AY18" s="2">
        <f t="shared" si="2"/>
        <v>284978.43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CA71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aca="true" t="shared" si="4" ref="DG18:DN18">DG71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ROW(A45)</f>
        <v>45</v>
      </c>
      <c r="E20" s="1"/>
      <c r="F20" s="1" t="s">
        <v>12</v>
      </c>
      <c r="G20" s="1" t="s">
        <v>12</v>
      </c>
      <c r="H20" s="1" t="s">
        <v>3</v>
      </c>
      <c r="I20" s="1">
        <v>0</v>
      </c>
      <c r="J20" s="1" t="s">
        <v>3</v>
      </c>
      <c r="K20" s="1">
        <v>0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118" ht="12.75">
      <c r="A22" s="2">
        <v>52</v>
      </c>
      <c r="B22" s="2">
        <f aca="true" t="shared" si="5" ref="B22:G22">B45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Новая локальная смета</v>
      </c>
      <c r="G22" s="2" t="str">
        <f t="shared" si="5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aca="true" t="shared" si="6" ref="O22:AT22">O45</f>
        <v>484965.61</v>
      </c>
      <c r="P22" s="2">
        <f t="shared" si="6"/>
        <v>284978.43</v>
      </c>
      <c r="Q22" s="2">
        <f t="shared" si="6"/>
        <v>23907.26</v>
      </c>
      <c r="R22" s="2">
        <f t="shared" si="6"/>
        <v>8378.74</v>
      </c>
      <c r="S22" s="2">
        <f t="shared" si="6"/>
        <v>176079.92</v>
      </c>
      <c r="T22" s="2">
        <f t="shared" si="6"/>
        <v>0</v>
      </c>
      <c r="U22" s="2">
        <f t="shared" si="6"/>
        <v>905.3946199999999</v>
      </c>
      <c r="V22" s="2">
        <f t="shared" si="6"/>
        <v>0</v>
      </c>
      <c r="W22" s="2">
        <f t="shared" si="6"/>
        <v>0</v>
      </c>
      <c r="X22" s="2">
        <f t="shared" si="6"/>
        <v>144785.77</v>
      </c>
      <c r="Y22" s="2">
        <f t="shared" si="6"/>
        <v>77475.16</v>
      </c>
      <c r="Z22" s="2">
        <f t="shared" si="6"/>
        <v>0</v>
      </c>
      <c r="AA22" s="2">
        <f t="shared" si="6"/>
        <v>0</v>
      </c>
      <c r="AB22" s="2">
        <f t="shared" si="6"/>
        <v>484965.61</v>
      </c>
      <c r="AC22" s="2">
        <f t="shared" si="6"/>
        <v>284978.43</v>
      </c>
      <c r="AD22" s="2">
        <f t="shared" si="6"/>
        <v>23907.26</v>
      </c>
      <c r="AE22" s="2">
        <f t="shared" si="6"/>
        <v>8378.74</v>
      </c>
      <c r="AF22" s="2">
        <f t="shared" si="6"/>
        <v>176079.92</v>
      </c>
      <c r="AG22" s="2">
        <f t="shared" si="6"/>
        <v>0</v>
      </c>
      <c r="AH22" s="2">
        <f t="shared" si="6"/>
        <v>905.3946199999999</v>
      </c>
      <c r="AI22" s="2">
        <f t="shared" si="6"/>
        <v>0</v>
      </c>
      <c r="AJ22" s="2">
        <f t="shared" si="6"/>
        <v>0</v>
      </c>
      <c r="AK22" s="2">
        <f t="shared" si="6"/>
        <v>144785.77</v>
      </c>
      <c r="AL22" s="2">
        <f t="shared" si="6"/>
        <v>77475.16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721219.04</v>
      </c>
      <c r="AS22" s="2">
        <f t="shared" si="6"/>
        <v>713045.45</v>
      </c>
      <c r="AT22" s="2">
        <f t="shared" si="6"/>
        <v>0</v>
      </c>
      <c r="AU22" s="2">
        <f aca="true" t="shared" si="7" ref="AU22:BZ22">AU45</f>
        <v>8173.59</v>
      </c>
      <c r="AV22" s="2">
        <f t="shared" si="7"/>
        <v>284978.43</v>
      </c>
      <c r="AW22" s="2">
        <f t="shared" si="7"/>
        <v>284978.43</v>
      </c>
      <c r="AX22" s="2">
        <f t="shared" si="7"/>
        <v>0</v>
      </c>
      <c r="AY22" s="2">
        <f t="shared" si="7"/>
        <v>284978.43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721219.04</v>
      </c>
      <c r="BF22" s="2">
        <f t="shared" si="7"/>
        <v>713045.45</v>
      </c>
      <c r="BG22" s="2">
        <f t="shared" si="7"/>
        <v>0</v>
      </c>
      <c r="BH22" s="2">
        <f t="shared" si="7"/>
        <v>8173.59</v>
      </c>
      <c r="BI22" s="2">
        <f t="shared" si="7"/>
        <v>284978.43</v>
      </c>
      <c r="BJ22" s="2">
        <f t="shared" si="7"/>
        <v>284978.43</v>
      </c>
      <c r="BK22" s="2">
        <f t="shared" si="7"/>
        <v>0</v>
      </c>
      <c r="BL22" s="2">
        <f t="shared" si="7"/>
        <v>284978.43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aca="true" t="shared" si="8" ref="CA22:DF22">CA45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aca="true" t="shared" si="9" ref="DG22:DN22">DG45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200" ht="12.75">
      <c r="A24">
        <v>17</v>
      </c>
      <c r="B24">
        <v>1</v>
      </c>
      <c r="C24">
        <f>ROW(SmtRes!A3)</f>
        <v>3</v>
      </c>
      <c r="D24">
        <f>ROW(EtalonRes!A2)</f>
        <v>2</v>
      </c>
      <c r="E24" t="s">
        <v>13</v>
      </c>
      <c r="F24" t="s">
        <v>14</v>
      </c>
      <c r="G24" t="s">
        <v>15</v>
      </c>
      <c r="H24" t="s">
        <v>16</v>
      </c>
      <c r="I24">
        <f>ROUND(352/100,9)</f>
        <v>3.52</v>
      </c>
      <c r="J24">
        <v>0</v>
      </c>
      <c r="O24">
        <f aca="true" t="shared" si="10" ref="O24:O43">ROUND(CP24,2)</f>
        <v>30098.37</v>
      </c>
      <c r="P24">
        <f aca="true" t="shared" si="11" ref="P24:P43">ROUND(CQ24*I24,2)</f>
        <v>0</v>
      </c>
      <c r="Q24">
        <f aca="true" t="shared" si="12" ref="Q24:Q43">ROUND(CR24*I24,2)</f>
        <v>0</v>
      </c>
      <c r="R24">
        <f aca="true" t="shared" si="13" ref="R24:R43">ROUND(CS24*I24,2)</f>
        <v>0</v>
      </c>
      <c r="S24">
        <f aca="true" t="shared" si="14" ref="S24:S43">ROUND(CT24*I24,2)</f>
        <v>30098.37</v>
      </c>
      <c r="T24">
        <f aca="true" t="shared" si="15" ref="T24:T43">ROUND(CU24*I24,2)</f>
        <v>0</v>
      </c>
      <c r="U24">
        <f aca="true" t="shared" si="16" ref="U24:U43">CV24*I24</f>
        <v>172.832</v>
      </c>
      <c r="V24">
        <f aca="true" t="shared" si="17" ref="V24:V43">CW24*I24</f>
        <v>0</v>
      </c>
      <c r="W24">
        <f aca="true" t="shared" si="18" ref="W24:W43">ROUND(CX24*I24,2)</f>
        <v>0</v>
      </c>
      <c r="X24">
        <f aca="true" t="shared" si="19" ref="X24:X43">ROUND(CY24,2)</f>
        <v>21670.83</v>
      </c>
      <c r="Y24">
        <f aca="true" t="shared" si="20" ref="Y24:Y43">ROUND(CZ24,2)</f>
        <v>13243.28</v>
      </c>
      <c r="AA24">
        <v>30840905</v>
      </c>
      <c r="AB24">
        <f aca="true" t="shared" si="21" ref="AB24:AB43">ROUND((AC24+AD24+AF24),6)</f>
        <v>501.8</v>
      </c>
      <c r="AC24">
        <f aca="true" t="shared" si="22" ref="AC24:AF25">ROUND((ES24),6)</f>
        <v>0</v>
      </c>
      <c r="AD24">
        <f t="shared" si="22"/>
        <v>0</v>
      </c>
      <c r="AE24">
        <f t="shared" si="22"/>
        <v>0</v>
      </c>
      <c r="AF24">
        <f t="shared" si="22"/>
        <v>501.8</v>
      </c>
      <c r="AG24">
        <f aca="true" t="shared" si="23" ref="AG24:AG43">ROUND((AP24),6)</f>
        <v>0</v>
      </c>
      <c r="AH24">
        <f>(EW24)</f>
        <v>49.1</v>
      </c>
      <c r="AI24">
        <f>(EX24)</f>
        <v>0</v>
      </c>
      <c r="AJ24">
        <f aca="true" t="shared" si="24" ref="AJ24:AJ43">ROUND((AS24),6)</f>
        <v>0</v>
      </c>
      <c r="AK24">
        <v>501.8</v>
      </c>
      <c r="AL24">
        <v>0</v>
      </c>
      <c r="AM24">
        <v>0</v>
      </c>
      <c r="AN24">
        <v>0</v>
      </c>
      <c r="AO24">
        <v>501.8</v>
      </c>
      <c r="AP24">
        <v>0</v>
      </c>
      <c r="AQ24">
        <v>49.1</v>
      </c>
      <c r="AR24">
        <v>0</v>
      </c>
      <c r="AS24">
        <v>0</v>
      </c>
      <c r="AT24">
        <v>72</v>
      </c>
      <c r="AU24">
        <v>44</v>
      </c>
      <c r="AV24">
        <v>1</v>
      </c>
      <c r="AW24">
        <v>1</v>
      </c>
      <c r="AZ24">
        <v>1</v>
      </c>
      <c r="BA24">
        <v>17.04</v>
      </c>
      <c r="BB24">
        <v>1</v>
      </c>
      <c r="BC24">
        <v>1</v>
      </c>
      <c r="BH24">
        <v>0</v>
      </c>
      <c r="BI24">
        <v>1</v>
      </c>
      <c r="BJ24" t="s">
        <v>17</v>
      </c>
      <c r="BM24">
        <v>456</v>
      </c>
      <c r="BN24">
        <v>0</v>
      </c>
      <c r="BO24" t="s">
        <v>14</v>
      </c>
      <c r="BP24">
        <v>1</v>
      </c>
      <c r="BQ24">
        <v>60</v>
      </c>
      <c r="BR24">
        <v>0</v>
      </c>
      <c r="BS24">
        <v>17.04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72</v>
      </c>
      <c r="CA24">
        <v>44</v>
      </c>
      <c r="CF24">
        <v>0</v>
      </c>
      <c r="CG24">
        <v>0</v>
      </c>
      <c r="CM24">
        <v>0</v>
      </c>
      <c r="CO24">
        <v>0</v>
      </c>
      <c r="CP24">
        <f aca="true" t="shared" si="25" ref="CP24:CP43">(P24+Q24+S24)</f>
        <v>30098.37</v>
      </c>
      <c r="CQ24">
        <f aca="true" t="shared" si="26" ref="CQ24:CQ43">(AC24*BC24*AW24)</f>
        <v>0</v>
      </c>
      <c r="CR24">
        <f aca="true" t="shared" si="27" ref="CR24:CR43">(AD24*BB24*AV24)</f>
        <v>0</v>
      </c>
      <c r="CS24">
        <f aca="true" t="shared" si="28" ref="CS24:CS43">(AE24*BS24*AV24)</f>
        <v>0</v>
      </c>
      <c r="CT24">
        <f aca="true" t="shared" si="29" ref="CT24:CT43">(AF24*BA24*AV24)</f>
        <v>8550.672</v>
      </c>
      <c r="CU24">
        <f aca="true" t="shared" si="30" ref="CU24:CU43">AG24</f>
        <v>0</v>
      </c>
      <c r="CV24">
        <f aca="true" t="shared" si="31" ref="CV24:CV43">(AH24*AV24)</f>
        <v>49.1</v>
      </c>
      <c r="CW24">
        <f aca="true" t="shared" si="32" ref="CW24:CW43">AI24</f>
        <v>0</v>
      </c>
      <c r="CX24">
        <f aca="true" t="shared" si="33" ref="CX24:CX43">AJ24</f>
        <v>0</v>
      </c>
      <c r="CY24">
        <f aca="true" t="shared" si="34" ref="CY24:CY43">S24*(BZ24/100)</f>
        <v>21670.826399999998</v>
      </c>
      <c r="CZ24">
        <f aca="true" t="shared" si="35" ref="CZ24:CZ43">S24*(CA24/100)</f>
        <v>13243.282799999999</v>
      </c>
      <c r="DN24">
        <v>80</v>
      </c>
      <c r="DO24">
        <v>55</v>
      </c>
      <c r="DP24">
        <v>1.047</v>
      </c>
      <c r="DQ24">
        <v>1</v>
      </c>
      <c r="DU24">
        <v>1005</v>
      </c>
      <c r="DV24" t="s">
        <v>16</v>
      </c>
      <c r="DW24" t="s">
        <v>16</v>
      </c>
      <c r="DX24">
        <v>100</v>
      </c>
      <c r="EE24">
        <v>28557589</v>
      </c>
      <c r="EF24">
        <v>60</v>
      </c>
      <c r="EG24" t="s">
        <v>18</v>
      </c>
      <c r="EH24">
        <v>0</v>
      </c>
      <c r="EJ24">
        <v>1</v>
      </c>
      <c r="EK24">
        <v>456</v>
      </c>
      <c r="EL24" t="s">
        <v>19</v>
      </c>
      <c r="EM24" t="s">
        <v>20</v>
      </c>
      <c r="EQ24">
        <v>0</v>
      </c>
      <c r="ER24">
        <v>501.8</v>
      </c>
      <c r="ES24">
        <v>0</v>
      </c>
      <c r="ET24">
        <v>0</v>
      </c>
      <c r="EU24">
        <v>0</v>
      </c>
      <c r="EV24">
        <v>501.8</v>
      </c>
      <c r="EW24">
        <v>49.1</v>
      </c>
      <c r="EX24">
        <v>0</v>
      </c>
      <c r="EY24">
        <v>0</v>
      </c>
      <c r="FQ24">
        <v>0</v>
      </c>
      <c r="FR24">
        <f aca="true" t="shared" si="36" ref="FR24:FR43">ROUND(IF(AND(BH24=3,BI24=3),P24,0),2)</f>
        <v>0</v>
      </c>
      <c r="FS24">
        <v>0</v>
      </c>
      <c r="FX24">
        <v>0</v>
      </c>
      <c r="FY24">
        <v>0</v>
      </c>
      <c r="GD24">
        <v>0</v>
      </c>
      <c r="GF24">
        <v>-659544201</v>
      </c>
      <c r="GG24">
        <v>2</v>
      </c>
      <c r="GH24">
        <v>1</v>
      </c>
      <c r="GI24">
        <v>3</v>
      </c>
      <c r="GJ24">
        <v>0</v>
      </c>
      <c r="GK24">
        <f>ROUND(R24*(R12)/100,2)</f>
        <v>0</v>
      </c>
      <c r="GL24">
        <f aca="true" t="shared" si="37" ref="GL24:GL43">ROUND(IF(AND(BH24=3,BI24=3,FS24&lt;&gt;0),P24,0),2)</f>
        <v>0</v>
      </c>
      <c r="GM24">
        <f aca="true" t="shared" si="38" ref="GM24:GM43">O24+X24+Y24+GK24</f>
        <v>65012.479999999996</v>
      </c>
      <c r="GN24">
        <f aca="true" t="shared" si="39" ref="GN24:GN43">ROUND(IF(OR(BI24=0,BI24=1),O24+X24+Y24+GK24,0),2)</f>
        <v>65012.48</v>
      </c>
      <c r="GO24">
        <f aca="true" t="shared" si="40" ref="GO24:GO43">ROUND(IF(BI24=2,O24+X24+Y24+GK24,0),2)</f>
        <v>0</v>
      </c>
      <c r="GP24">
        <f aca="true" t="shared" si="41" ref="GP24:GP43">ROUND(IF(BI24=4,O24+X24+Y24+GK24,0),2)</f>
        <v>0</v>
      </c>
      <c r="GR24">
        <v>0</v>
      </c>
    </row>
    <row r="25" spans="1:200" ht="12.75">
      <c r="A25">
        <v>18</v>
      </c>
      <c r="B25">
        <v>1</v>
      </c>
      <c r="C25">
        <v>2</v>
      </c>
      <c r="E25" t="s">
        <v>21</v>
      </c>
      <c r="G25" t="s">
        <v>22</v>
      </c>
      <c r="H25" t="s">
        <v>23</v>
      </c>
      <c r="I25">
        <f>I24*J25</f>
        <v>16.192</v>
      </c>
      <c r="J25">
        <v>4.6</v>
      </c>
      <c r="O25">
        <f t="shared" si="10"/>
        <v>0</v>
      </c>
      <c r="P25">
        <f t="shared" si="11"/>
        <v>0</v>
      </c>
      <c r="Q25">
        <f t="shared" si="12"/>
        <v>0</v>
      </c>
      <c r="R25">
        <f t="shared" si="13"/>
        <v>0</v>
      </c>
      <c r="S25">
        <f t="shared" si="14"/>
        <v>0</v>
      </c>
      <c r="T25">
        <f t="shared" si="15"/>
        <v>0</v>
      </c>
      <c r="U25">
        <f t="shared" si="16"/>
        <v>0</v>
      </c>
      <c r="V25">
        <f t="shared" si="17"/>
        <v>0</v>
      </c>
      <c r="W25">
        <f t="shared" si="18"/>
        <v>0</v>
      </c>
      <c r="X25">
        <f t="shared" si="19"/>
        <v>0</v>
      </c>
      <c r="Y25">
        <f t="shared" si="20"/>
        <v>0</v>
      </c>
      <c r="AA25">
        <v>30840905</v>
      </c>
      <c r="AB25">
        <f t="shared" si="21"/>
        <v>0</v>
      </c>
      <c r="AC25">
        <f t="shared" si="22"/>
        <v>0</v>
      </c>
      <c r="AD25">
        <f t="shared" si="22"/>
        <v>0</v>
      </c>
      <c r="AE25">
        <f t="shared" si="22"/>
        <v>0</v>
      </c>
      <c r="AF25">
        <f t="shared" si="22"/>
        <v>0</v>
      </c>
      <c r="AG25">
        <f t="shared" si="23"/>
        <v>0</v>
      </c>
      <c r="AH25">
        <f>(EW25)</f>
        <v>0</v>
      </c>
      <c r="AI25">
        <f>(EX25)</f>
        <v>0</v>
      </c>
      <c r="AJ25">
        <f t="shared" si="24"/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1</v>
      </c>
      <c r="AW25">
        <v>1</v>
      </c>
      <c r="AZ25">
        <v>1</v>
      </c>
      <c r="BA25">
        <v>1</v>
      </c>
      <c r="BB25">
        <v>1</v>
      </c>
      <c r="BC25">
        <v>1</v>
      </c>
      <c r="BH25">
        <v>3</v>
      </c>
      <c r="BI25">
        <v>1</v>
      </c>
      <c r="BM25">
        <v>456</v>
      </c>
      <c r="BN25">
        <v>0</v>
      </c>
      <c r="BP25">
        <v>0</v>
      </c>
      <c r="BQ25">
        <v>60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80</v>
      </c>
      <c r="CA25">
        <v>55</v>
      </c>
      <c r="CF25">
        <v>0</v>
      </c>
      <c r="CG25">
        <v>0</v>
      </c>
      <c r="CM25">
        <v>0</v>
      </c>
      <c r="CO25">
        <v>0</v>
      </c>
      <c r="CP25">
        <f t="shared" si="25"/>
        <v>0</v>
      </c>
      <c r="CQ25">
        <f t="shared" si="26"/>
        <v>0</v>
      </c>
      <c r="CR25">
        <f t="shared" si="27"/>
        <v>0</v>
      </c>
      <c r="CS25">
        <f t="shared" si="28"/>
        <v>0</v>
      </c>
      <c r="CT25">
        <f t="shared" si="29"/>
        <v>0</v>
      </c>
      <c r="CU25">
        <f t="shared" si="30"/>
        <v>0</v>
      </c>
      <c r="CV25">
        <f t="shared" si="31"/>
        <v>0</v>
      </c>
      <c r="CW25">
        <f t="shared" si="32"/>
        <v>0</v>
      </c>
      <c r="CX25">
        <f t="shared" si="33"/>
        <v>0</v>
      </c>
      <c r="CY25">
        <f t="shared" si="34"/>
        <v>0</v>
      </c>
      <c r="CZ25">
        <f t="shared" si="35"/>
        <v>0</v>
      </c>
      <c r="DN25">
        <v>80</v>
      </c>
      <c r="DO25">
        <v>55</v>
      </c>
      <c r="DP25">
        <v>1.047</v>
      </c>
      <c r="DQ25">
        <v>1</v>
      </c>
      <c r="DU25">
        <v>1009</v>
      </c>
      <c r="DV25" t="s">
        <v>23</v>
      </c>
      <c r="DW25" t="s">
        <v>23</v>
      </c>
      <c r="DX25">
        <v>1000</v>
      </c>
      <c r="EE25">
        <v>28557589</v>
      </c>
      <c r="EF25">
        <v>60</v>
      </c>
      <c r="EG25" t="s">
        <v>18</v>
      </c>
      <c r="EH25">
        <v>0</v>
      </c>
      <c r="EJ25">
        <v>1</v>
      </c>
      <c r="EK25">
        <v>456</v>
      </c>
      <c r="EL25" t="s">
        <v>19</v>
      </c>
      <c r="EM25" t="s">
        <v>20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FQ25">
        <v>0</v>
      </c>
      <c r="FR25">
        <f t="shared" si="36"/>
        <v>0</v>
      </c>
      <c r="FS25">
        <v>0</v>
      </c>
      <c r="FX25">
        <v>80</v>
      </c>
      <c r="FY25">
        <v>55</v>
      </c>
      <c r="GD25">
        <v>0</v>
      </c>
      <c r="GF25">
        <v>639933046</v>
      </c>
      <c r="GG25">
        <v>2</v>
      </c>
      <c r="GH25">
        <v>0</v>
      </c>
      <c r="GI25">
        <v>3</v>
      </c>
      <c r="GJ25">
        <v>0</v>
      </c>
      <c r="GK25">
        <f>ROUND(R25*(R12)/100,2)</f>
        <v>0</v>
      </c>
      <c r="GL25">
        <f t="shared" si="37"/>
        <v>0</v>
      </c>
      <c r="GM25">
        <f t="shared" si="38"/>
        <v>0</v>
      </c>
      <c r="GN25">
        <f t="shared" si="39"/>
        <v>0</v>
      </c>
      <c r="GO25">
        <f t="shared" si="40"/>
        <v>0</v>
      </c>
      <c r="GP25">
        <f t="shared" si="41"/>
        <v>0</v>
      </c>
      <c r="GR25">
        <v>0</v>
      </c>
    </row>
    <row r="26" spans="1:200" ht="12.75">
      <c r="A26">
        <v>17</v>
      </c>
      <c r="B26">
        <v>1</v>
      </c>
      <c r="C26">
        <f>ROW(SmtRes!A9)</f>
        <v>9</v>
      </c>
      <c r="D26">
        <f>ROW(EtalonRes!A7)</f>
        <v>7</v>
      </c>
      <c r="E26" t="s">
        <v>24</v>
      </c>
      <c r="F26" t="s">
        <v>25</v>
      </c>
      <c r="G26" t="s">
        <v>26</v>
      </c>
      <c r="H26" t="s">
        <v>27</v>
      </c>
      <c r="I26">
        <f>ROUND(4/10,9)</f>
        <v>0.4</v>
      </c>
      <c r="J26">
        <v>0</v>
      </c>
      <c r="O26">
        <f t="shared" si="10"/>
        <v>9095.87</v>
      </c>
      <c r="P26">
        <f t="shared" si="11"/>
        <v>0</v>
      </c>
      <c r="Q26">
        <f t="shared" si="12"/>
        <v>4294.29</v>
      </c>
      <c r="R26">
        <f t="shared" si="13"/>
        <v>2787.27</v>
      </c>
      <c r="S26">
        <f t="shared" si="14"/>
        <v>4801.58</v>
      </c>
      <c r="T26">
        <f t="shared" si="15"/>
        <v>0</v>
      </c>
      <c r="U26">
        <f t="shared" si="16"/>
        <v>28.038120000000006</v>
      </c>
      <c r="V26">
        <f t="shared" si="17"/>
        <v>0</v>
      </c>
      <c r="W26">
        <f t="shared" si="18"/>
        <v>0</v>
      </c>
      <c r="X26">
        <f t="shared" si="19"/>
        <v>3457.14</v>
      </c>
      <c r="Y26">
        <f t="shared" si="20"/>
        <v>2112.7</v>
      </c>
      <c r="AA26">
        <v>30840905</v>
      </c>
      <c r="AB26">
        <f t="shared" si="21"/>
        <v>2098.7076</v>
      </c>
      <c r="AC26">
        <f aca="true" t="shared" si="42" ref="AC26:AE29">ROUND((ES26),6)</f>
        <v>0</v>
      </c>
      <c r="AD26">
        <f t="shared" si="42"/>
        <v>1394.25</v>
      </c>
      <c r="AE26">
        <f t="shared" si="42"/>
        <v>408.93</v>
      </c>
      <c r="AF26">
        <f>ROUND(((EV26*0.33)),6)</f>
        <v>704.4576</v>
      </c>
      <c r="AG26">
        <f t="shared" si="23"/>
        <v>0</v>
      </c>
      <c r="AH26">
        <f>((EW26*0.33))</f>
        <v>70.09530000000001</v>
      </c>
      <c r="AI26">
        <f>(EX26)</f>
        <v>0</v>
      </c>
      <c r="AJ26">
        <f t="shared" si="24"/>
        <v>0</v>
      </c>
      <c r="AK26">
        <v>3528.97</v>
      </c>
      <c r="AL26">
        <v>0</v>
      </c>
      <c r="AM26">
        <v>1394.25</v>
      </c>
      <c r="AN26">
        <v>408.93</v>
      </c>
      <c r="AO26">
        <v>2134.72</v>
      </c>
      <c r="AP26">
        <v>0</v>
      </c>
      <c r="AQ26">
        <v>212.41</v>
      </c>
      <c r="AR26">
        <v>0</v>
      </c>
      <c r="AS26">
        <v>0</v>
      </c>
      <c r="AT26">
        <v>72</v>
      </c>
      <c r="AU26">
        <v>44</v>
      </c>
      <c r="AV26">
        <v>1</v>
      </c>
      <c r="AW26">
        <v>1</v>
      </c>
      <c r="AZ26">
        <v>1</v>
      </c>
      <c r="BA26">
        <v>17.04</v>
      </c>
      <c r="BB26">
        <v>7.7</v>
      </c>
      <c r="BC26">
        <v>1</v>
      </c>
      <c r="BH26">
        <v>0</v>
      </c>
      <c r="BI26">
        <v>1</v>
      </c>
      <c r="BJ26" t="s">
        <v>28</v>
      </c>
      <c r="BM26">
        <v>406</v>
      </c>
      <c r="BN26">
        <v>0</v>
      </c>
      <c r="BO26" t="s">
        <v>25</v>
      </c>
      <c r="BP26">
        <v>1</v>
      </c>
      <c r="BQ26">
        <v>60</v>
      </c>
      <c r="BR26">
        <v>0</v>
      </c>
      <c r="BS26">
        <v>17.04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72</v>
      </c>
      <c r="CA26">
        <v>44</v>
      </c>
      <c r="CF26">
        <v>0</v>
      </c>
      <c r="CG26">
        <v>0</v>
      </c>
      <c r="CM26">
        <v>0</v>
      </c>
      <c r="CO26">
        <v>0</v>
      </c>
      <c r="CP26">
        <f t="shared" si="25"/>
        <v>9095.869999999999</v>
      </c>
      <c r="CQ26">
        <f t="shared" si="26"/>
        <v>0</v>
      </c>
      <c r="CR26">
        <f t="shared" si="27"/>
        <v>10735.725</v>
      </c>
      <c r="CS26">
        <f t="shared" si="28"/>
        <v>6968.1672</v>
      </c>
      <c r="CT26">
        <f t="shared" si="29"/>
        <v>12003.957503999998</v>
      </c>
      <c r="CU26">
        <f t="shared" si="30"/>
        <v>0</v>
      </c>
      <c r="CV26">
        <f t="shared" si="31"/>
        <v>70.09530000000001</v>
      </c>
      <c r="CW26">
        <f t="shared" si="32"/>
        <v>0</v>
      </c>
      <c r="CX26">
        <f t="shared" si="33"/>
        <v>0</v>
      </c>
      <c r="CY26">
        <f t="shared" si="34"/>
        <v>3457.1376</v>
      </c>
      <c r="CZ26">
        <f t="shared" si="35"/>
        <v>2112.6952</v>
      </c>
      <c r="DG26" t="s">
        <v>29</v>
      </c>
      <c r="DI26" t="s">
        <v>29</v>
      </c>
      <c r="DN26">
        <v>80</v>
      </c>
      <c r="DO26">
        <v>55</v>
      </c>
      <c r="DP26">
        <v>1.047</v>
      </c>
      <c r="DQ26">
        <v>1</v>
      </c>
      <c r="DU26">
        <v>1007</v>
      </c>
      <c r="DV26" t="s">
        <v>27</v>
      </c>
      <c r="DW26" t="s">
        <v>27</v>
      </c>
      <c r="DX26">
        <v>10</v>
      </c>
      <c r="EE26">
        <v>28557539</v>
      </c>
      <c r="EF26">
        <v>60</v>
      </c>
      <c r="EG26" t="s">
        <v>18</v>
      </c>
      <c r="EH26">
        <v>0</v>
      </c>
      <c r="EJ26">
        <v>1</v>
      </c>
      <c r="EK26">
        <v>406</v>
      </c>
      <c r="EL26" t="s">
        <v>30</v>
      </c>
      <c r="EM26" t="s">
        <v>31</v>
      </c>
      <c r="EQ26">
        <v>0</v>
      </c>
      <c r="ER26">
        <v>3528.97</v>
      </c>
      <c r="ES26">
        <v>0</v>
      </c>
      <c r="ET26">
        <v>1394.25</v>
      </c>
      <c r="EU26">
        <v>408.93</v>
      </c>
      <c r="EV26">
        <v>2134.72</v>
      </c>
      <c r="EW26">
        <v>212.41</v>
      </c>
      <c r="EX26">
        <v>0</v>
      </c>
      <c r="EY26">
        <v>0</v>
      </c>
      <c r="FQ26">
        <v>0</v>
      </c>
      <c r="FR26">
        <f t="shared" si="36"/>
        <v>0</v>
      </c>
      <c r="FS26">
        <v>0</v>
      </c>
      <c r="FX26">
        <v>0</v>
      </c>
      <c r="FY26">
        <v>0</v>
      </c>
      <c r="GD26">
        <v>0</v>
      </c>
      <c r="GF26">
        <v>1653071318</v>
      </c>
      <c r="GG26">
        <v>2</v>
      </c>
      <c r="GH26">
        <v>1</v>
      </c>
      <c r="GI26">
        <v>3</v>
      </c>
      <c r="GJ26">
        <v>0</v>
      </c>
      <c r="GK26">
        <f>ROUND(R26*(R12)/100,2)</f>
        <v>4654.74</v>
      </c>
      <c r="GL26">
        <f t="shared" si="37"/>
        <v>0</v>
      </c>
      <c r="GM26">
        <f t="shared" si="38"/>
        <v>19320.449999999997</v>
      </c>
      <c r="GN26">
        <f t="shared" si="39"/>
        <v>19320.45</v>
      </c>
      <c r="GO26">
        <f t="shared" si="40"/>
        <v>0</v>
      </c>
      <c r="GP26">
        <f t="shared" si="41"/>
        <v>0</v>
      </c>
      <c r="GR26">
        <v>0</v>
      </c>
    </row>
    <row r="27" spans="1:200" ht="12.75">
      <c r="A27">
        <v>18</v>
      </c>
      <c r="B27">
        <v>1</v>
      </c>
      <c r="C27">
        <v>8</v>
      </c>
      <c r="E27" t="s">
        <v>32</v>
      </c>
      <c r="G27" t="s">
        <v>22</v>
      </c>
      <c r="H27" t="s">
        <v>23</v>
      </c>
      <c r="I27">
        <f>I26*J27</f>
        <v>8.244</v>
      </c>
      <c r="J27">
        <v>20.61</v>
      </c>
      <c r="O27">
        <f t="shared" si="10"/>
        <v>0</v>
      </c>
      <c r="P27">
        <f t="shared" si="11"/>
        <v>0</v>
      </c>
      <c r="Q27">
        <f t="shared" si="12"/>
        <v>0</v>
      </c>
      <c r="R27">
        <f t="shared" si="13"/>
        <v>0</v>
      </c>
      <c r="S27">
        <f t="shared" si="14"/>
        <v>0</v>
      </c>
      <c r="T27">
        <f t="shared" si="15"/>
        <v>0</v>
      </c>
      <c r="U27">
        <f t="shared" si="16"/>
        <v>0</v>
      </c>
      <c r="V27">
        <f t="shared" si="17"/>
        <v>0</v>
      </c>
      <c r="W27">
        <f t="shared" si="18"/>
        <v>0</v>
      </c>
      <c r="X27">
        <f t="shared" si="19"/>
        <v>0</v>
      </c>
      <c r="Y27">
        <f t="shared" si="20"/>
        <v>0</v>
      </c>
      <c r="AA27">
        <v>30840905</v>
      </c>
      <c r="AB27">
        <f t="shared" si="21"/>
        <v>0</v>
      </c>
      <c r="AC27">
        <f t="shared" si="42"/>
        <v>0</v>
      </c>
      <c r="AD27">
        <f t="shared" si="42"/>
        <v>0</v>
      </c>
      <c r="AE27">
        <f t="shared" si="42"/>
        <v>0</v>
      </c>
      <c r="AF27">
        <f>ROUND((EV27),6)</f>
        <v>0</v>
      </c>
      <c r="AG27">
        <f t="shared" si="23"/>
        <v>0</v>
      </c>
      <c r="AH27">
        <f>(EW27)</f>
        <v>0</v>
      </c>
      <c r="AI27">
        <f>(EX27)</f>
        <v>0</v>
      </c>
      <c r="AJ27">
        <f t="shared" si="24"/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1</v>
      </c>
      <c r="BH27">
        <v>3</v>
      </c>
      <c r="BI27">
        <v>1</v>
      </c>
      <c r="BM27">
        <v>456</v>
      </c>
      <c r="BN27">
        <v>0</v>
      </c>
      <c r="BP27">
        <v>0</v>
      </c>
      <c r="BQ27">
        <v>60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80</v>
      </c>
      <c r="CA27">
        <v>55</v>
      </c>
      <c r="CF27">
        <v>0</v>
      </c>
      <c r="CG27">
        <v>0</v>
      </c>
      <c r="CM27">
        <v>0</v>
      </c>
      <c r="CO27">
        <v>0</v>
      </c>
      <c r="CP27">
        <f t="shared" si="25"/>
        <v>0</v>
      </c>
      <c r="CQ27">
        <f t="shared" si="26"/>
        <v>0</v>
      </c>
      <c r="CR27">
        <f t="shared" si="27"/>
        <v>0</v>
      </c>
      <c r="CS27">
        <f t="shared" si="28"/>
        <v>0</v>
      </c>
      <c r="CT27">
        <f t="shared" si="29"/>
        <v>0</v>
      </c>
      <c r="CU27">
        <f t="shared" si="30"/>
        <v>0</v>
      </c>
      <c r="CV27">
        <f t="shared" si="31"/>
        <v>0</v>
      </c>
      <c r="CW27">
        <f t="shared" si="32"/>
        <v>0</v>
      </c>
      <c r="CX27">
        <f t="shared" si="33"/>
        <v>0</v>
      </c>
      <c r="CY27">
        <f t="shared" si="34"/>
        <v>0</v>
      </c>
      <c r="CZ27">
        <f t="shared" si="35"/>
        <v>0</v>
      </c>
      <c r="DN27">
        <v>80</v>
      </c>
      <c r="DO27">
        <v>55</v>
      </c>
      <c r="DP27">
        <v>1.047</v>
      </c>
      <c r="DQ27">
        <v>1</v>
      </c>
      <c r="DU27">
        <v>1009</v>
      </c>
      <c r="DV27" t="s">
        <v>23</v>
      </c>
      <c r="DW27" t="s">
        <v>23</v>
      </c>
      <c r="DX27">
        <v>1000</v>
      </c>
      <c r="EE27">
        <v>28557589</v>
      </c>
      <c r="EF27">
        <v>60</v>
      </c>
      <c r="EG27" t="s">
        <v>18</v>
      </c>
      <c r="EH27">
        <v>0</v>
      </c>
      <c r="EJ27">
        <v>1</v>
      </c>
      <c r="EK27">
        <v>456</v>
      </c>
      <c r="EL27" t="s">
        <v>19</v>
      </c>
      <c r="EM27" t="s">
        <v>20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FQ27">
        <v>0</v>
      </c>
      <c r="FR27">
        <f t="shared" si="36"/>
        <v>0</v>
      </c>
      <c r="FS27">
        <v>0</v>
      </c>
      <c r="FX27">
        <v>80</v>
      </c>
      <c r="FY27">
        <v>55</v>
      </c>
      <c r="GD27">
        <v>0</v>
      </c>
      <c r="GF27">
        <v>639933046</v>
      </c>
      <c r="GG27">
        <v>2</v>
      </c>
      <c r="GH27">
        <v>0</v>
      </c>
      <c r="GI27">
        <v>3</v>
      </c>
      <c r="GJ27">
        <v>0</v>
      </c>
      <c r="GK27">
        <f>ROUND(R27*(R12)/100,2)</f>
        <v>0</v>
      </c>
      <c r="GL27">
        <f t="shared" si="37"/>
        <v>0</v>
      </c>
      <c r="GM27">
        <f t="shared" si="38"/>
        <v>0</v>
      </c>
      <c r="GN27">
        <f t="shared" si="39"/>
        <v>0</v>
      </c>
      <c r="GO27">
        <f t="shared" si="40"/>
        <v>0</v>
      </c>
      <c r="GP27">
        <f t="shared" si="41"/>
        <v>0</v>
      </c>
      <c r="GR27">
        <v>0</v>
      </c>
    </row>
    <row r="28" spans="1:200" ht="12.75">
      <c r="A28">
        <v>17</v>
      </c>
      <c r="B28">
        <v>1</v>
      </c>
      <c r="C28">
        <f>ROW(SmtRes!A10)</f>
        <v>10</v>
      </c>
      <c r="D28">
        <f>ROW(EtalonRes!A8)</f>
        <v>8</v>
      </c>
      <c r="E28" t="s">
        <v>33</v>
      </c>
      <c r="F28" t="s">
        <v>34</v>
      </c>
      <c r="G28" t="s">
        <v>35</v>
      </c>
      <c r="H28" t="s">
        <v>23</v>
      </c>
      <c r="I28">
        <v>24.436</v>
      </c>
      <c r="J28">
        <v>0</v>
      </c>
      <c r="O28">
        <f t="shared" si="10"/>
        <v>1669.24</v>
      </c>
      <c r="P28">
        <f t="shared" si="11"/>
        <v>0</v>
      </c>
      <c r="Q28">
        <f t="shared" si="12"/>
        <v>1669.24</v>
      </c>
      <c r="R28">
        <f t="shared" si="13"/>
        <v>616.26</v>
      </c>
      <c r="S28">
        <f t="shared" si="14"/>
        <v>0</v>
      </c>
      <c r="T28">
        <f t="shared" si="15"/>
        <v>0</v>
      </c>
      <c r="U28">
        <f t="shared" si="16"/>
        <v>0</v>
      </c>
      <c r="V28">
        <f t="shared" si="17"/>
        <v>0</v>
      </c>
      <c r="W28">
        <f t="shared" si="18"/>
        <v>0</v>
      </c>
      <c r="X28">
        <f t="shared" si="19"/>
        <v>0</v>
      </c>
      <c r="Y28">
        <f t="shared" si="20"/>
        <v>0</v>
      </c>
      <c r="AA28">
        <v>30840905</v>
      </c>
      <c r="AB28">
        <f t="shared" si="21"/>
        <v>8.86</v>
      </c>
      <c r="AC28">
        <f t="shared" si="42"/>
        <v>0</v>
      </c>
      <c r="AD28">
        <f t="shared" si="42"/>
        <v>8.86</v>
      </c>
      <c r="AE28">
        <f t="shared" si="42"/>
        <v>1.48</v>
      </c>
      <c r="AF28">
        <f>ROUND((EV28),6)</f>
        <v>0</v>
      </c>
      <c r="AG28">
        <f t="shared" si="23"/>
        <v>0</v>
      </c>
      <c r="AH28">
        <f>(EW28)</f>
        <v>0</v>
      </c>
      <c r="AI28">
        <f>(EX28)</f>
        <v>0</v>
      </c>
      <c r="AJ28">
        <f t="shared" si="24"/>
        <v>0</v>
      </c>
      <c r="AK28">
        <v>8.86</v>
      </c>
      <c r="AL28">
        <v>0</v>
      </c>
      <c r="AM28">
        <v>8.86</v>
      </c>
      <c r="AN28">
        <v>1.48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77</v>
      </c>
      <c r="AU28">
        <v>44</v>
      </c>
      <c r="AV28">
        <v>1</v>
      </c>
      <c r="AW28">
        <v>1</v>
      </c>
      <c r="AZ28">
        <v>1</v>
      </c>
      <c r="BA28">
        <v>17.04</v>
      </c>
      <c r="BB28">
        <v>7.71</v>
      </c>
      <c r="BC28">
        <v>1</v>
      </c>
      <c r="BH28">
        <v>0</v>
      </c>
      <c r="BI28">
        <v>1</v>
      </c>
      <c r="BJ28" t="s">
        <v>36</v>
      </c>
      <c r="BM28">
        <v>658</v>
      </c>
      <c r="BN28">
        <v>0</v>
      </c>
      <c r="BO28" t="s">
        <v>34</v>
      </c>
      <c r="BP28">
        <v>1</v>
      </c>
      <c r="BQ28">
        <v>60</v>
      </c>
      <c r="BR28">
        <v>0</v>
      </c>
      <c r="BS28">
        <v>17.04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77</v>
      </c>
      <c r="CA28">
        <v>44</v>
      </c>
      <c r="CF28">
        <v>0</v>
      </c>
      <c r="CG28">
        <v>0</v>
      </c>
      <c r="CM28">
        <v>0</v>
      </c>
      <c r="CO28">
        <v>0</v>
      </c>
      <c r="CP28">
        <f t="shared" si="25"/>
        <v>1669.24</v>
      </c>
      <c r="CQ28">
        <f t="shared" si="26"/>
        <v>0</v>
      </c>
      <c r="CR28">
        <f t="shared" si="27"/>
        <v>68.3106</v>
      </c>
      <c r="CS28">
        <f t="shared" si="28"/>
        <v>25.219199999999997</v>
      </c>
      <c r="CT28">
        <f t="shared" si="29"/>
        <v>0</v>
      </c>
      <c r="CU28">
        <f t="shared" si="30"/>
        <v>0</v>
      </c>
      <c r="CV28">
        <f t="shared" si="31"/>
        <v>0</v>
      </c>
      <c r="CW28">
        <f t="shared" si="32"/>
        <v>0</v>
      </c>
      <c r="CX28">
        <f t="shared" si="33"/>
        <v>0</v>
      </c>
      <c r="CY28">
        <f t="shared" si="34"/>
        <v>0</v>
      </c>
      <c r="CZ28">
        <f t="shared" si="35"/>
        <v>0</v>
      </c>
      <c r="DN28">
        <v>91</v>
      </c>
      <c r="DO28">
        <v>70</v>
      </c>
      <c r="DP28">
        <v>1.047</v>
      </c>
      <c r="DQ28">
        <v>1.002</v>
      </c>
      <c r="DU28">
        <v>1009</v>
      </c>
      <c r="DV28" t="s">
        <v>23</v>
      </c>
      <c r="DW28" t="s">
        <v>23</v>
      </c>
      <c r="DX28">
        <v>1000</v>
      </c>
      <c r="EE28">
        <v>28557791</v>
      </c>
      <c r="EF28">
        <v>60</v>
      </c>
      <c r="EG28" t="s">
        <v>18</v>
      </c>
      <c r="EH28">
        <v>0</v>
      </c>
      <c r="EJ28">
        <v>1</v>
      </c>
      <c r="EK28">
        <v>658</v>
      </c>
      <c r="EL28" t="s">
        <v>37</v>
      </c>
      <c r="EM28" t="s">
        <v>38</v>
      </c>
      <c r="EQ28">
        <v>0</v>
      </c>
      <c r="ER28">
        <v>8.86</v>
      </c>
      <c r="ES28">
        <v>0</v>
      </c>
      <c r="ET28">
        <v>8.86</v>
      </c>
      <c r="EU28">
        <v>1.48</v>
      </c>
      <c r="EV28">
        <v>0</v>
      </c>
      <c r="EW28">
        <v>0</v>
      </c>
      <c r="EX28">
        <v>0</v>
      </c>
      <c r="EY28">
        <v>0</v>
      </c>
      <c r="FQ28">
        <v>0</v>
      </c>
      <c r="FR28">
        <f t="shared" si="36"/>
        <v>0</v>
      </c>
      <c r="FS28">
        <v>0</v>
      </c>
      <c r="FX28">
        <v>0</v>
      </c>
      <c r="FY28">
        <v>0</v>
      </c>
      <c r="GD28">
        <v>0</v>
      </c>
      <c r="GF28">
        <v>-2131482769</v>
      </c>
      <c r="GG28">
        <v>2</v>
      </c>
      <c r="GH28">
        <v>1</v>
      </c>
      <c r="GI28">
        <v>3</v>
      </c>
      <c r="GJ28">
        <v>0</v>
      </c>
      <c r="GK28">
        <f>ROUND(R28*(R12)/100,2)</f>
        <v>1029.15</v>
      </c>
      <c r="GL28">
        <f t="shared" si="37"/>
        <v>0</v>
      </c>
      <c r="GM28">
        <f t="shared" si="38"/>
        <v>2698.3900000000003</v>
      </c>
      <c r="GN28">
        <f t="shared" si="39"/>
        <v>2698.39</v>
      </c>
      <c r="GO28">
        <f t="shared" si="40"/>
        <v>0</v>
      </c>
      <c r="GP28">
        <f t="shared" si="41"/>
        <v>0</v>
      </c>
      <c r="GR28">
        <v>0</v>
      </c>
    </row>
    <row r="29" spans="1:200" ht="12.75">
      <c r="A29">
        <v>17</v>
      </c>
      <c r="B29">
        <v>1</v>
      </c>
      <c r="E29" t="s">
        <v>39</v>
      </c>
      <c r="F29" t="s">
        <v>40</v>
      </c>
      <c r="G29" t="s">
        <v>41</v>
      </c>
      <c r="H29" t="s">
        <v>23</v>
      </c>
      <c r="I29">
        <v>24.436</v>
      </c>
      <c r="J29">
        <v>0</v>
      </c>
      <c r="O29">
        <f t="shared" si="10"/>
        <v>8173.59</v>
      </c>
      <c r="P29">
        <f t="shared" si="11"/>
        <v>0</v>
      </c>
      <c r="Q29">
        <f t="shared" si="12"/>
        <v>8173.59</v>
      </c>
      <c r="R29">
        <f t="shared" si="13"/>
        <v>0</v>
      </c>
      <c r="S29">
        <f t="shared" si="14"/>
        <v>0</v>
      </c>
      <c r="T29">
        <f t="shared" si="15"/>
        <v>0</v>
      </c>
      <c r="U29">
        <f t="shared" si="16"/>
        <v>0</v>
      </c>
      <c r="V29">
        <f t="shared" si="17"/>
        <v>0</v>
      </c>
      <c r="W29">
        <f t="shared" si="18"/>
        <v>0</v>
      </c>
      <c r="X29">
        <f t="shared" si="19"/>
        <v>0</v>
      </c>
      <c r="Y29">
        <f t="shared" si="20"/>
        <v>0</v>
      </c>
      <c r="AA29">
        <v>30840905</v>
      </c>
      <c r="AB29">
        <f t="shared" si="21"/>
        <v>60.16</v>
      </c>
      <c r="AC29">
        <f t="shared" si="42"/>
        <v>0</v>
      </c>
      <c r="AD29">
        <f t="shared" si="42"/>
        <v>60.16</v>
      </c>
      <c r="AE29">
        <f t="shared" si="42"/>
        <v>0</v>
      </c>
      <c r="AF29">
        <f>ROUND((EV29),6)</f>
        <v>0</v>
      </c>
      <c r="AG29">
        <f t="shared" si="23"/>
        <v>0</v>
      </c>
      <c r="AH29">
        <f>(EW29)</f>
        <v>0</v>
      </c>
      <c r="AI29">
        <f>(EX29)</f>
        <v>0</v>
      </c>
      <c r="AJ29">
        <f t="shared" si="24"/>
        <v>0</v>
      </c>
      <c r="AK29">
        <v>60.16</v>
      </c>
      <c r="AL29">
        <v>0</v>
      </c>
      <c r="AM29">
        <v>60.16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1</v>
      </c>
      <c r="BA29">
        <v>1</v>
      </c>
      <c r="BB29">
        <v>5.56</v>
      </c>
      <c r="BC29">
        <v>1</v>
      </c>
      <c r="BH29">
        <v>0</v>
      </c>
      <c r="BI29">
        <v>4</v>
      </c>
      <c r="BJ29" t="s">
        <v>42</v>
      </c>
      <c r="BM29">
        <v>1113</v>
      </c>
      <c r="BN29">
        <v>0</v>
      </c>
      <c r="BO29" t="s">
        <v>40</v>
      </c>
      <c r="BP29">
        <v>1</v>
      </c>
      <c r="BQ29">
        <v>150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0</v>
      </c>
      <c r="CA29">
        <v>0</v>
      </c>
      <c r="CF29">
        <v>0</v>
      </c>
      <c r="CG29">
        <v>0</v>
      </c>
      <c r="CM29">
        <v>0</v>
      </c>
      <c r="CO29">
        <v>0</v>
      </c>
      <c r="CP29">
        <f t="shared" si="25"/>
        <v>8173.59</v>
      </c>
      <c r="CQ29">
        <f t="shared" si="26"/>
        <v>0</v>
      </c>
      <c r="CR29">
        <f t="shared" si="27"/>
        <v>334.48959999999994</v>
      </c>
      <c r="CS29">
        <f t="shared" si="28"/>
        <v>0</v>
      </c>
      <c r="CT29">
        <f t="shared" si="29"/>
        <v>0</v>
      </c>
      <c r="CU29">
        <f t="shared" si="30"/>
        <v>0</v>
      </c>
      <c r="CV29">
        <f t="shared" si="31"/>
        <v>0</v>
      </c>
      <c r="CW29">
        <f t="shared" si="32"/>
        <v>0</v>
      </c>
      <c r="CX29">
        <f t="shared" si="33"/>
        <v>0</v>
      </c>
      <c r="CY29">
        <f t="shared" si="34"/>
        <v>0</v>
      </c>
      <c r="CZ29">
        <f t="shared" si="35"/>
        <v>0</v>
      </c>
      <c r="DN29">
        <v>0</v>
      </c>
      <c r="DO29">
        <v>0</v>
      </c>
      <c r="DP29">
        <v>1</v>
      </c>
      <c r="DQ29">
        <v>1</v>
      </c>
      <c r="DU29">
        <v>1009</v>
      </c>
      <c r="DV29" t="s">
        <v>23</v>
      </c>
      <c r="DW29" t="s">
        <v>23</v>
      </c>
      <c r="DX29">
        <v>1000</v>
      </c>
      <c r="EE29">
        <v>28558246</v>
      </c>
      <c r="EF29">
        <v>150</v>
      </c>
      <c r="EG29" t="s">
        <v>43</v>
      </c>
      <c r="EH29">
        <v>0</v>
      </c>
      <c r="EJ29">
        <v>4</v>
      </c>
      <c r="EK29">
        <v>1113</v>
      </c>
      <c r="EL29" t="s">
        <v>44</v>
      </c>
      <c r="EM29" t="s">
        <v>45</v>
      </c>
      <c r="EQ29">
        <v>0</v>
      </c>
      <c r="ER29">
        <v>60.16</v>
      </c>
      <c r="ES29">
        <v>0</v>
      </c>
      <c r="ET29">
        <v>60.16</v>
      </c>
      <c r="EU29">
        <v>0</v>
      </c>
      <c r="EV29">
        <v>0</v>
      </c>
      <c r="EW29">
        <v>0</v>
      </c>
      <c r="EX29">
        <v>0</v>
      </c>
      <c r="EY29">
        <v>0</v>
      </c>
      <c r="FQ29">
        <v>0</v>
      </c>
      <c r="FR29">
        <f t="shared" si="36"/>
        <v>0</v>
      </c>
      <c r="FS29">
        <v>0</v>
      </c>
      <c r="FX29">
        <v>0</v>
      </c>
      <c r="FY29">
        <v>0</v>
      </c>
      <c r="GD29">
        <v>0</v>
      </c>
      <c r="GF29">
        <v>106262454</v>
      </c>
      <c r="GG29">
        <v>2</v>
      </c>
      <c r="GH29">
        <v>1</v>
      </c>
      <c r="GI29">
        <v>3</v>
      </c>
      <c r="GJ29">
        <v>0</v>
      </c>
      <c r="GK29">
        <f>ROUND(R29*(R12)/100,2)</f>
        <v>0</v>
      </c>
      <c r="GL29">
        <f t="shared" si="37"/>
        <v>0</v>
      </c>
      <c r="GM29">
        <f t="shared" si="38"/>
        <v>8173.59</v>
      </c>
      <c r="GN29">
        <f t="shared" si="39"/>
        <v>0</v>
      </c>
      <c r="GO29">
        <f t="shared" si="40"/>
        <v>0</v>
      </c>
      <c r="GP29">
        <f t="shared" si="41"/>
        <v>8173.59</v>
      </c>
      <c r="GR29">
        <v>0</v>
      </c>
    </row>
    <row r="30" spans="1:200" ht="12.75">
      <c r="A30">
        <v>17</v>
      </c>
      <c r="B30">
        <v>1</v>
      </c>
      <c r="C30">
        <f>ROW(SmtRes!A16)</f>
        <v>16</v>
      </c>
      <c r="D30">
        <f>ROW(EtalonRes!A14)</f>
        <v>14</v>
      </c>
      <c r="E30" t="s">
        <v>46</v>
      </c>
      <c r="F30" t="s">
        <v>47</v>
      </c>
      <c r="G30" t="s">
        <v>48</v>
      </c>
      <c r="H30" t="s">
        <v>49</v>
      </c>
      <c r="I30">
        <f>ROUND(1/100,9)</f>
        <v>0.01</v>
      </c>
      <c r="J30">
        <v>0</v>
      </c>
      <c r="O30">
        <f t="shared" si="10"/>
        <v>342.54</v>
      </c>
      <c r="P30">
        <f t="shared" si="11"/>
        <v>70.86</v>
      </c>
      <c r="Q30">
        <f t="shared" si="12"/>
        <v>1.31</v>
      </c>
      <c r="R30">
        <f t="shared" si="13"/>
        <v>0.55</v>
      </c>
      <c r="S30">
        <f t="shared" si="14"/>
        <v>270.37</v>
      </c>
      <c r="T30">
        <f t="shared" si="15"/>
        <v>0</v>
      </c>
      <c r="U30">
        <f t="shared" si="16"/>
        <v>1.5525</v>
      </c>
      <c r="V30">
        <f t="shared" si="17"/>
        <v>0</v>
      </c>
      <c r="W30">
        <f t="shared" si="18"/>
        <v>0</v>
      </c>
      <c r="X30">
        <f t="shared" si="19"/>
        <v>194.67</v>
      </c>
      <c r="Y30">
        <f t="shared" si="20"/>
        <v>118.96</v>
      </c>
      <c r="AA30">
        <v>30840905</v>
      </c>
      <c r="AB30">
        <f t="shared" si="21"/>
        <v>3471.1625</v>
      </c>
      <c r="AC30">
        <f aca="true" t="shared" si="43" ref="AC30:AC43">ROUND((ES30),6)</f>
        <v>1859.87</v>
      </c>
      <c r="AD30">
        <f>ROUND(((ET30*1.25)),6)</f>
        <v>24.6375</v>
      </c>
      <c r="AE30">
        <f>ROUND(((EU30*1.25)),6)</f>
        <v>3.25</v>
      </c>
      <c r="AF30">
        <f>ROUND(((EV30*1.15)),6)</f>
        <v>1586.655</v>
      </c>
      <c r="AG30">
        <f t="shared" si="23"/>
        <v>0</v>
      </c>
      <c r="AH30">
        <f>((EW30*1.15))</f>
        <v>155.25</v>
      </c>
      <c r="AI30">
        <f>((EX30*1.25))</f>
        <v>0</v>
      </c>
      <c r="AJ30">
        <f t="shared" si="24"/>
        <v>0</v>
      </c>
      <c r="AK30">
        <v>3259.28</v>
      </c>
      <c r="AL30">
        <v>1859.87</v>
      </c>
      <c r="AM30">
        <v>19.71</v>
      </c>
      <c r="AN30">
        <v>2.6</v>
      </c>
      <c r="AO30">
        <v>1379.7</v>
      </c>
      <c r="AP30">
        <v>0</v>
      </c>
      <c r="AQ30">
        <v>135</v>
      </c>
      <c r="AR30">
        <v>0</v>
      </c>
      <c r="AS30">
        <v>0</v>
      </c>
      <c r="AT30">
        <v>72</v>
      </c>
      <c r="AU30">
        <v>44</v>
      </c>
      <c r="AV30">
        <v>1</v>
      </c>
      <c r="AW30">
        <v>1</v>
      </c>
      <c r="AZ30">
        <v>1</v>
      </c>
      <c r="BA30">
        <v>17.04</v>
      </c>
      <c r="BB30">
        <v>5.31</v>
      </c>
      <c r="BC30">
        <v>3.81</v>
      </c>
      <c r="BH30">
        <v>0</v>
      </c>
      <c r="BI30">
        <v>1</v>
      </c>
      <c r="BJ30" t="s">
        <v>50</v>
      </c>
      <c r="BM30">
        <v>47</v>
      </c>
      <c r="BN30">
        <v>0</v>
      </c>
      <c r="BO30" t="s">
        <v>47</v>
      </c>
      <c r="BP30">
        <v>1</v>
      </c>
      <c r="BQ30">
        <v>30</v>
      </c>
      <c r="BR30">
        <v>0</v>
      </c>
      <c r="BS30">
        <v>17.04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72</v>
      </c>
      <c r="CA30">
        <v>44</v>
      </c>
      <c r="CF30">
        <v>0</v>
      </c>
      <c r="CG30">
        <v>0</v>
      </c>
      <c r="CM30">
        <v>0</v>
      </c>
      <c r="CO30">
        <v>0</v>
      </c>
      <c r="CP30">
        <f t="shared" si="25"/>
        <v>342.54</v>
      </c>
      <c r="CQ30">
        <f t="shared" si="26"/>
        <v>7086.1047</v>
      </c>
      <c r="CR30">
        <f t="shared" si="27"/>
        <v>130.82512499999999</v>
      </c>
      <c r="CS30">
        <f t="shared" si="28"/>
        <v>55.379999999999995</v>
      </c>
      <c r="CT30">
        <f t="shared" si="29"/>
        <v>27036.601199999997</v>
      </c>
      <c r="CU30">
        <f t="shared" si="30"/>
        <v>0</v>
      </c>
      <c r="CV30">
        <f t="shared" si="31"/>
        <v>155.25</v>
      </c>
      <c r="CW30">
        <f t="shared" si="32"/>
        <v>0</v>
      </c>
      <c r="CX30">
        <f t="shared" si="33"/>
        <v>0</v>
      </c>
      <c r="CY30">
        <f t="shared" si="34"/>
        <v>194.6664</v>
      </c>
      <c r="CZ30">
        <f t="shared" si="35"/>
        <v>118.9628</v>
      </c>
      <c r="DE30" t="s">
        <v>51</v>
      </c>
      <c r="DF30" t="s">
        <v>51</v>
      </c>
      <c r="DG30" t="s">
        <v>52</v>
      </c>
      <c r="DI30" t="s">
        <v>52</v>
      </c>
      <c r="DJ30" t="s">
        <v>51</v>
      </c>
      <c r="DN30">
        <v>85</v>
      </c>
      <c r="DO30">
        <v>70</v>
      </c>
      <c r="DP30">
        <v>1.047</v>
      </c>
      <c r="DQ30">
        <v>1.022</v>
      </c>
      <c r="DU30">
        <v>1007</v>
      </c>
      <c r="DV30" t="s">
        <v>49</v>
      </c>
      <c r="DW30" t="s">
        <v>49</v>
      </c>
      <c r="DX30">
        <v>100</v>
      </c>
      <c r="EE30">
        <v>28557180</v>
      </c>
      <c r="EF30">
        <v>30</v>
      </c>
      <c r="EG30" t="s">
        <v>53</v>
      </c>
      <c r="EH30">
        <v>0</v>
      </c>
      <c r="EJ30">
        <v>1</v>
      </c>
      <c r="EK30">
        <v>47</v>
      </c>
      <c r="EL30" t="s">
        <v>54</v>
      </c>
      <c r="EM30" t="s">
        <v>55</v>
      </c>
      <c r="EQ30">
        <v>0</v>
      </c>
      <c r="ER30">
        <v>3259.28</v>
      </c>
      <c r="ES30">
        <v>1859.87</v>
      </c>
      <c r="ET30">
        <v>19.71</v>
      </c>
      <c r="EU30">
        <v>2.6</v>
      </c>
      <c r="EV30">
        <v>1379.7</v>
      </c>
      <c r="EW30">
        <v>135</v>
      </c>
      <c r="EX30">
        <v>0</v>
      </c>
      <c r="EY30">
        <v>0</v>
      </c>
      <c r="FQ30">
        <v>0</v>
      </c>
      <c r="FR30">
        <f t="shared" si="36"/>
        <v>0</v>
      </c>
      <c r="FS30">
        <v>0</v>
      </c>
      <c r="FX30">
        <v>0</v>
      </c>
      <c r="FY30">
        <v>0</v>
      </c>
      <c r="GD30">
        <v>0</v>
      </c>
      <c r="GF30">
        <v>593793077</v>
      </c>
      <c r="GG30">
        <v>2</v>
      </c>
      <c r="GH30">
        <v>1</v>
      </c>
      <c r="GI30">
        <v>3</v>
      </c>
      <c r="GJ30">
        <v>0</v>
      </c>
      <c r="GK30">
        <f>ROUND(R30*(R12)/100,2)</f>
        <v>0.92</v>
      </c>
      <c r="GL30">
        <f t="shared" si="37"/>
        <v>0</v>
      </c>
      <c r="GM30">
        <f t="shared" si="38"/>
        <v>657.09</v>
      </c>
      <c r="GN30">
        <f t="shared" si="39"/>
        <v>657.09</v>
      </c>
      <c r="GO30">
        <f t="shared" si="40"/>
        <v>0</v>
      </c>
      <c r="GP30">
        <f t="shared" si="41"/>
        <v>0</v>
      </c>
      <c r="GR30">
        <v>0</v>
      </c>
    </row>
    <row r="31" spans="1:200" ht="12.75">
      <c r="A31">
        <v>18</v>
      </c>
      <c r="B31">
        <v>1</v>
      </c>
      <c r="C31">
        <v>16</v>
      </c>
      <c r="E31" t="s">
        <v>56</v>
      </c>
      <c r="F31" t="s">
        <v>57</v>
      </c>
      <c r="G31" t="s">
        <v>58</v>
      </c>
      <c r="H31" t="s">
        <v>59</v>
      </c>
      <c r="I31">
        <f>I30*J31</f>
        <v>1.02</v>
      </c>
      <c r="J31">
        <v>102</v>
      </c>
      <c r="O31">
        <f t="shared" si="10"/>
        <v>3271.39</v>
      </c>
      <c r="P31">
        <f t="shared" si="11"/>
        <v>3271.39</v>
      </c>
      <c r="Q31">
        <f t="shared" si="12"/>
        <v>0</v>
      </c>
      <c r="R31">
        <f t="shared" si="13"/>
        <v>0</v>
      </c>
      <c r="S31">
        <f t="shared" si="14"/>
        <v>0</v>
      </c>
      <c r="T31">
        <f t="shared" si="15"/>
        <v>0</v>
      </c>
      <c r="U31">
        <f t="shared" si="16"/>
        <v>0</v>
      </c>
      <c r="V31">
        <f t="shared" si="17"/>
        <v>0</v>
      </c>
      <c r="W31">
        <f t="shared" si="18"/>
        <v>0</v>
      </c>
      <c r="X31">
        <f t="shared" si="19"/>
        <v>0</v>
      </c>
      <c r="Y31">
        <f t="shared" si="20"/>
        <v>0</v>
      </c>
      <c r="AA31">
        <v>30840905</v>
      </c>
      <c r="AB31">
        <f t="shared" si="21"/>
        <v>704.89</v>
      </c>
      <c r="AC31">
        <f t="shared" si="43"/>
        <v>704.89</v>
      </c>
      <c r="AD31">
        <f>ROUND((ET31),6)</f>
        <v>0</v>
      </c>
      <c r="AE31">
        <f>ROUND((EU31),6)</f>
        <v>0</v>
      </c>
      <c r="AF31">
        <f>ROUND((EV31),6)</f>
        <v>0</v>
      </c>
      <c r="AG31">
        <f t="shared" si="23"/>
        <v>0</v>
      </c>
      <c r="AH31">
        <f>(EW31)</f>
        <v>0</v>
      </c>
      <c r="AI31">
        <f>(EX31)</f>
        <v>0</v>
      </c>
      <c r="AJ31">
        <f t="shared" si="24"/>
        <v>0</v>
      </c>
      <c r="AK31">
        <v>704.89</v>
      </c>
      <c r="AL31">
        <v>704.89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4.55</v>
      </c>
      <c r="BH31">
        <v>3</v>
      </c>
      <c r="BI31">
        <v>1</v>
      </c>
      <c r="BJ31" t="s">
        <v>60</v>
      </c>
      <c r="BM31">
        <v>47</v>
      </c>
      <c r="BN31">
        <v>0</v>
      </c>
      <c r="BO31" t="s">
        <v>57</v>
      </c>
      <c r="BP31">
        <v>1</v>
      </c>
      <c r="BQ31">
        <v>30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85</v>
      </c>
      <c r="CA31">
        <v>70</v>
      </c>
      <c r="CF31">
        <v>0</v>
      </c>
      <c r="CG31">
        <v>0</v>
      </c>
      <c r="CM31">
        <v>0</v>
      </c>
      <c r="CO31">
        <v>0</v>
      </c>
      <c r="CP31">
        <f t="shared" si="25"/>
        <v>3271.39</v>
      </c>
      <c r="CQ31">
        <f t="shared" si="26"/>
        <v>3207.2495</v>
      </c>
      <c r="CR31">
        <f t="shared" si="27"/>
        <v>0</v>
      </c>
      <c r="CS31">
        <f t="shared" si="28"/>
        <v>0</v>
      </c>
      <c r="CT31">
        <f t="shared" si="29"/>
        <v>0</v>
      </c>
      <c r="CU31">
        <f t="shared" si="30"/>
        <v>0</v>
      </c>
      <c r="CV31">
        <f t="shared" si="31"/>
        <v>0</v>
      </c>
      <c r="CW31">
        <f t="shared" si="32"/>
        <v>0</v>
      </c>
      <c r="CX31">
        <f t="shared" si="33"/>
        <v>0</v>
      </c>
      <c r="CY31">
        <f t="shared" si="34"/>
        <v>0</v>
      </c>
      <c r="CZ31">
        <f t="shared" si="35"/>
        <v>0</v>
      </c>
      <c r="DN31">
        <v>85</v>
      </c>
      <c r="DO31">
        <v>70</v>
      </c>
      <c r="DP31">
        <v>1.047</v>
      </c>
      <c r="DQ31">
        <v>1.022</v>
      </c>
      <c r="DU31">
        <v>1007</v>
      </c>
      <c r="DV31" t="s">
        <v>59</v>
      </c>
      <c r="DW31" t="s">
        <v>59</v>
      </c>
      <c r="DX31">
        <v>1</v>
      </c>
      <c r="EE31">
        <v>28557180</v>
      </c>
      <c r="EF31">
        <v>30</v>
      </c>
      <c r="EG31" t="s">
        <v>53</v>
      </c>
      <c r="EH31">
        <v>0</v>
      </c>
      <c r="EJ31">
        <v>1</v>
      </c>
      <c r="EK31">
        <v>47</v>
      </c>
      <c r="EL31" t="s">
        <v>54</v>
      </c>
      <c r="EM31" t="s">
        <v>55</v>
      </c>
      <c r="EQ31">
        <v>0</v>
      </c>
      <c r="ER31">
        <v>704.89</v>
      </c>
      <c r="ES31">
        <v>704.89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36"/>
        <v>0</v>
      </c>
      <c r="FS31">
        <v>0</v>
      </c>
      <c r="FX31">
        <v>85</v>
      </c>
      <c r="FY31">
        <v>70</v>
      </c>
      <c r="GD31">
        <v>0</v>
      </c>
      <c r="GF31">
        <v>-193017344</v>
      </c>
      <c r="GG31">
        <v>2</v>
      </c>
      <c r="GH31">
        <v>1</v>
      </c>
      <c r="GI31">
        <v>3</v>
      </c>
      <c r="GJ31">
        <v>0</v>
      </c>
      <c r="GK31">
        <f>ROUND(R31*(R12)/100,2)</f>
        <v>0</v>
      </c>
      <c r="GL31">
        <f t="shared" si="37"/>
        <v>0</v>
      </c>
      <c r="GM31">
        <f t="shared" si="38"/>
        <v>3271.39</v>
      </c>
      <c r="GN31">
        <f t="shared" si="39"/>
        <v>3271.39</v>
      </c>
      <c r="GO31">
        <f t="shared" si="40"/>
        <v>0</v>
      </c>
      <c r="GP31">
        <f t="shared" si="41"/>
        <v>0</v>
      </c>
      <c r="GR31">
        <v>0</v>
      </c>
    </row>
    <row r="32" spans="1:200" ht="12.75">
      <c r="A32">
        <v>17</v>
      </c>
      <c r="B32">
        <v>1</v>
      </c>
      <c r="C32">
        <f>ROW(SmtRes!A21)</f>
        <v>21</v>
      </c>
      <c r="D32">
        <f>ROW(EtalonRes!A19)</f>
        <v>19</v>
      </c>
      <c r="E32" t="s">
        <v>61</v>
      </c>
      <c r="F32" t="s">
        <v>62</v>
      </c>
      <c r="G32" t="s">
        <v>63</v>
      </c>
      <c r="H32" t="s">
        <v>23</v>
      </c>
      <c r="I32">
        <v>0</v>
      </c>
      <c r="J32">
        <v>0</v>
      </c>
      <c r="O32">
        <f t="shared" si="10"/>
        <v>0</v>
      </c>
      <c r="P32">
        <f t="shared" si="11"/>
        <v>0</v>
      </c>
      <c r="Q32">
        <f t="shared" si="12"/>
        <v>0</v>
      </c>
      <c r="R32">
        <f t="shared" si="13"/>
        <v>0</v>
      </c>
      <c r="S32">
        <f t="shared" si="14"/>
        <v>0</v>
      </c>
      <c r="T32">
        <f t="shared" si="15"/>
        <v>0</v>
      </c>
      <c r="U32">
        <f t="shared" si="16"/>
        <v>0</v>
      </c>
      <c r="V32">
        <f t="shared" si="17"/>
        <v>0</v>
      </c>
      <c r="W32">
        <f t="shared" si="18"/>
        <v>0</v>
      </c>
      <c r="X32">
        <f t="shared" si="19"/>
        <v>0</v>
      </c>
      <c r="Y32">
        <f t="shared" si="20"/>
        <v>0</v>
      </c>
      <c r="AA32">
        <v>30840905</v>
      </c>
      <c r="AB32">
        <f t="shared" si="21"/>
        <v>451.542</v>
      </c>
      <c r="AC32">
        <f t="shared" si="43"/>
        <v>258.91</v>
      </c>
      <c r="AD32">
        <f>ROUND(((ET32*1.25)),6)</f>
        <v>37.75</v>
      </c>
      <c r="AE32">
        <f>ROUND(((EU32*1.25)),6)</f>
        <v>10.025</v>
      </c>
      <c r="AF32">
        <f>ROUND(((EV32*1.15)),6)</f>
        <v>154.882</v>
      </c>
      <c r="AG32">
        <f t="shared" si="23"/>
        <v>0</v>
      </c>
      <c r="AH32">
        <f>((EW32*1.15))</f>
        <v>13.339999999999998</v>
      </c>
      <c r="AI32">
        <f>((EX32*1.25))</f>
        <v>0</v>
      </c>
      <c r="AJ32">
        <f t="shared" si="24"/>
        <v>0</v>
      </c>
      <c r="AK32">
        <v>423.79</v>
      </c>
      <c r="AL32">
        <v>258.91</v>
      </c>
      <c r="AM32">
        <v>30.2</v>
      </c>
      <c r="AN32">
        <v>8.02</v>
      </c>
      <c r="AO32">
        <v>134.68</v>
      </c>
      <c r="AP32">
        <v>0</v>
      </c>
      <c r="AQ32">
        <v>11.6</v>
      </c>
      <c r="AR32">
        <v>0</v>
      </c>
      <c r="AS32">
        <v>0</v>
      </c>
      <c r="AT32">
        <v>72</v>
      </c>
      <c r="AU32">
        <v>44</v>
      </c>
      <c r="AV32">
        <v>1</v>
      </c>
      <c r="AW32">
        <v>1</v>
      </c>
      <c r="AZ32">
        <v>1</v>
      </c>
      <c r="BA32">
        <v>17.04</v>
      </c>
      <c r="BB32">
        <v>8.4</v>
      </c>
      <c r="BC32">
        <v>3.5</v>
      </c>
      <c r="BH32">
        <v>0</v>
      </c>
      <c r="BI32">
        <v>1</v>
      </c>
      <c r="BJ32" t="s">
        <v>64</v>
      </c>
      <c r="BM32">
        <v>47</v>
      </c>
      <c r="BN32">
        <v>0</v>
      </c>
      <c r="BO32" t="s">
        <v>62</v>
      </c>
      <c r="BP32">
        <v>1</v>
      </c>
      <c r="BQ32">
        <v>30</v>
      </c>
      <c r="BR32">
        <v>0</v>
      </c>
      <c r="BS32">
        <v>17.04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72</v>
      </c>
      <c r="CA32">
        <v>44</v>
      </c>
      <c r="CF32">
        <v>0</v>
      </c>
      <c r="CG32">
        <v>0</v>
      </c>
      <c r="CM32">
        <v>0</v>
      </c>
      <c r="CO32">
        <v>0</v>
      </c>
      <c r="CP32">
        <f t="shared" si="25"/>
        <v>0</v>
      </c>
      <c r="CQ32">
        <f t="shared" si="26"/>
        <v>906.1850000000001</v>
      </c>
      <c r="CR32">
        <f t="shared" si="27"/>
        <v>317.1</v>
      </c>
      <c r="CS32">
        <f t="shared" si="28"/>
        <v>170.826</v>
      </c>
      <c r="CT32">
        <f t="shared" si="29"/>
        <v>2639.18928</v>
      </c>
      <c r="CU32">
        <f t="shared" si="30"/>
        <v>0</v>
      </c>
      <c r="CV32">
        <f t="shared" si="31"/>
        <v>13.339999999999998</v>
      </c>
      <c r="CW32">
        <f t="shared" si="32"/>
        <v>0</v>
      </c>
      <c r="CX32">
        <f t="shared" si="33"/>
        <v>0</v>
      </c>
      <c r="CY32">
        <f t="shared" si="34"/>
        <v>0</v>
      </c>
      <c r="CZ32">
        <f t="shared" si="35"/>
        <v>0</v>
      </c>
      <c r="DE32" t="s">
        <v>51</v>
      </c>
      <c r="DF32" t="s">
        <v>51</v>
      </c>
      <c r="DG32" t="s">
        <v>52</v>
      </c>
      <c r="DI32" t="s">
        <v>52</v>
      </c>
      <c r="DJ32" t="s">
        <v>51</v>
      </c>
      <c r="DN32">
        <v>85</v>
      </c>
      <c r="DO32">
        <v>70</v>
      </c>
      <c r="DP32">
        <v>1.047</v>
      </c>
      <c r="DQ32">
        <v>1.022</v>
      </c>
      <c r="DU32">
        <v>1009</v>
      </c>
      <c r="DV32" t="s">
        <v>23</v>
      </c>
      <c r="DW32" t="s">
        <v>23</v>
      </c>
      <c r="DX32">
        <v>1000</v>
      </c>
      <c r="EE32">
        <v>28557180</v>
      </c>
      <c r="EF32">
        <v>30</v>
      </c>
      <c r="EG32" t="s">
        <v>53</v>
      </c>
      <c r="EH32">
        <v>0</v>
      </c>
      <c r="EJ32">
        <v>1</v>
      </c>
      <c r="EK32">
        <v>47</v>
      </c>
      <c r="EL32" t="s">
        <v>54</v>
      </c>
      <c r="EM32" t="s">
        <v>55</v>
      </c>
      <c r="EQ32">
        <v>0</v>
      </c>
      <c r="ER32">
        <v>423.79</v>
      </c>
      <c r="ES32">
        <v>258.91</v>
      </c>
      <c r="ET32">
        <v>30.2</v>
      </c>
      <c r="EU32">
        <v>8.02</v>
      </c>
      <c r="EV32">
        <v>134.68</v>
      </c>
      <c r="EW32">
        <v>11.6</v>
      </c>
      <c r="EX32">
        <v>0</v>
      </c>
      <c r="EY32">
        <v>0</v>
      </c>
      <c r="FQ32">
        <v>0</v>
      </c>
      <c r="FR32">
        <f t="shared" si="36"/>
        <v>0</v>
      </c>
      <c r="FS32">
        <v>0</v>
      </c>
      <c r="FX32">
        <v>0</v>
      </c>
      <c r="FY32">
        <v>0</v>
      </c>
      <c r="GD32">
        <v>0</v>
      </c>
      <c r="GF32">
        <v>-1539083000</v>
      </c>
      <c r="GG32">
        <v>2</v>
      </c>
      <c r="GH32">
        <v>1</v>
      </c>
      <c r="GI32">
        <v>3</v>
      </c>
      <c r="GJ32">
        <v>0</v>
      </c>
      <c r="GK32">
        <f>ROUND(R32*(R12)/100,2)</f>
        <v>0</v>
      </c>
      <c r="GL32">
        <f t="shared" si="37"/>
        <v>0</v>
      </c>
      <c r="GM32">
        <f t="shared" si="38"/>
        <v>0</v>
      </c>
      <c r="GN32">
        <f t="shared" si="39"/>
        <v>0</v>
      </c>
      <c r="GO32">
        <f t="shared" si="40"/>
        <v>0</v>
      </c>
      <c r="GP32">
        <f t="shared" si="41"/>
        <v>0</v>
      </c>
      <c r="GR32">
        <v>0</v>
      </c>
    </row>
    <row r="33" spans="1:200" ht="12.75">
      <c r="A33">
        <v>18</v>
      </c>
      <c r="B33">
        <v>1</v>
      </c>
      <c r="C33">
        <v>21</v>
      </c>
      <c r="E33" t="s">
        <v>65</v>
      </c>
      <c r="F33" t="s">
        <v>66</v>
      </c>
      <c r="G33" t="s">
        <v>67</v>
      </c>
      <c r="H33" t="s">
        <v>23</v>
      </c>
      <c r="I33">
        <f>I32*J33</f>
        <v>0</v>
      </c>
      <c r="J33">
        <v>0.055</v>
      </c>
      <c r="O33">
        <f t="shared" si="10"/>
        <v>0</v>
      </c>
      <c r="P33">
        <f t="shared" si="11"/>
        <v>0</v>
      </c>
      <c r="Q33">
        <f t="shared" si="12"/>
        <v>0</v>
      </c>
      <c r="R33">
        <f t="shared" si="13"/>
        <v>0</v>
      </c>
      <c r="S33">
        <f t="shared" si="14"/>
        <v>0</v>
      </c>
      <c r="T33">
        <f t="shared" si="15"/>
        <v>0</v>
      </c>
      <c r="U33">
        <f t="shared" si="16"/>
        <v>0</v>
      </c>
      <c r="V33">
        <f t="shared" si="17"/>
        <v>0</v>
      </c>
      <c r="W33">
        <f t="shared" si="18"/>
        <v>0</v>
      </c>
      <c r="X33">
        <f t="shared" si="19"/>
        <v>0</v>
      </c>
      <c r="Y33">
        <f t="shared" si="20"/>
        <v>0</v>
      </c>
      <c r="AA33">
        <v>30840905</v>
      </c>
      <c r="AB33">
        <f t="shared" si="21"/>
        <v>6263.04</v>
      </c>
      <c r="AC33">
        <f t="shared" si="43"/>
        <v>6263.04</v>
      </c>
      <c r="AD33">
        <f>ROUND((ET33),6)</f>
        <v>0</v>
      </c>
      <c r="AE33">
        <f>ROUND((EU33),6)</f>
        <v>0</v>
      </c>
      <c r="AF33">
        <f>ROUND((EV33),6)</f>
        <v>0</v>
      </c>
      <c r="AG33">
        <f t="shared" si="23"/>
        <v>0</v>
      </c>
      <c r="AH33">
        <f>(EW33)</f>
        <v>0</v>
      </c>
      <c r="AI33">
        <f>(EX33)</f>
        <v>0</v>
      </c>
      <c r="AJ33">
        <f t="shared" si="24"/>
        <v>0</v>
      </c>
      <c r="AK33">
        <v>6263.04</v>
      </c>
      <c r="AL33">
        <v>6263.04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6.37</v>
      </c>
      <c r="BH33">
        <v>3</v>
      </c>
      <c r="BI33">
        <v>1</v>
      </c>
      <c r="BJ33" t="s">
        <v>68</v>
      </c>
      <c r="BM33">
        <v>47</v>
      </c>
      <c r="BN33">
        <v>0</v>
      </c>
      <c r="BO33" t="s">
        <v>66</v>
      </c>
      <c r="BP33">
        <v>1</v>
      </c>
      <c r="BQ33">
        <v>30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85</v>
      </c>
      <c r="CA33">
        <v>70</v>
      </c>
      <c r="CF33">
        <v>0</v>
      </c>
      <c r="CG33">
        <v>0</v>
      </c>
      <c r="CM33">
        <v>0</v>
      </c>
      <c r="CO33">
        <v>0</v>
      </c>
      <c r="CP33">
        <f t="shared" si="25"/>
        <v>0</v>
      </c>
      <c r="CQ33">
        <f t="shared" si="26"/>
        <v>39895.5648</v>
      </c>
      <c r="CR33">
        <f t="shared" si="27"/>
        <v>0</v>
      </c>
      <c r="CS33">
        <f t="shared" si="28"/>
        <v>0</v>
      </c>
      <c r="CT33">
        <f t="shared" si="29"/>
        <v>0</v>
      </c>
      <c r="CU33">
        <f t="shared" si="30"/>
        <v>0</v>
      </c>
      <c r="CV33">
        <f t="shared" si="31"/>
        <v>0</v>
      </c>
      <c r="CW33">
        <f t="shared" si="32"/>
        <v>0</v>
      </c>
      <c r="CX33">
        <f t="shared" si="33"/>
        <v>0</v>
      </c>
      <c r="CY33">
        <f t="shared" si="34"/>
        <v>0</v>
      </c>
      <c r="CZ33">
        <f t="shared" si="35"/>
        <v>0</v>
      </c>
      <c r="DN33">
        <v>85</v>
      </c>
      <c r="DO33">
        <v>70</v>
      </c>
      <c r="DP33">
        <v>1.047</v>
      </c>
      <c r="DQ33">
        <v>1.022</v>
      </c>
      <c r="DU33">
        <v>1009</v>
      </c>
      <c r="DV33" t="s">
        <v>23</v>
      </c>
      <c r="DW33" t="s">
        <v>23</v>
      </c>
      <c r="DX33">
        <v>1000</v>
      </c>
      <c r="EE33">
        <v>28557180</v>
      </c>
      <c r="EF33">
        <v>30</v>
      </c>
      <c r="EG33" t="s">
        <v>53</v>
      </c>
      <c r="EH33">
        <v>0</v>
      </c>
      <c r="EJ33">
        <v>1</v>
      </c>
      <c r="EK33">
        <v>47</v>
      </c>
      <c r="EL33" t="s">
        <v>54</v>
      </c>
      <c r="EM33" t="s">
        <v>55</v>
      </c>
      <c r="EQ33">
        <v>0</v>
      </c>
      <c r="ER33">
        <v>6263.04</v>
      </c>
      <c r="ES33">
        <v>6263.04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36"/>
        <v>0</v>
      </c>
      <c r="FS33">
        <v>0</v>
      </c>
      <c r="FX33">
        <v>85</v>
      </c>
      <c r="FY33">
        <v>70</v>
      </c>
      <c r="GD33">
        <v>0</v>
      </c>
      <c r="GF33">
        <v>209325351</v>
      </c>
      <c r="GG33">
        <v>2</v>
      </c>
      <c r="GH33">
        <v>1</v>
      </c>
      <c r="GI33">
        <v>3</v>
      </c>
      <c r="GJ33">
        <v>0</v>
      </c>
      <c r="GK33">
        <f>ROUND(R33*(R12)/100,2)</f>
        <v>0</v>
      </c>
      <c r="GL33">
        <f t="shared" si="37"/>
        <v>0</v>
      </c>
      <c r="GM33">
        <f t="shared" si="38"/>
        <v>0</v>
      </c>
      <c r="GN33">
        <f t="shared" si="39"/>
        <v>0</v>
      </c>
      <c r="GO33">
        <f t="shared" si="40"/>
        <v>0</v>
      </c>
      <c r="GP33">
        <f t="shared" si="41"/>
        <v>0</v>
      </c>
      <c r="GR33">
        <v>0</v>
      </c>
    </row>
    <row r="34" spans="1:200" ht="12.75">
      <c r="A34">
        <v>17</v>
      </c>
      <c r="B34">
        <v>1</v>
      </c>
      <c r="C34">
        <f>ROW(SmtRes!A26)</f>
        <v>26</v>
      </c>
      <c r="D34">
        <f>ROW(EtalonRes!A24)</f>
        <v>24</v>
      </c>
      <c r="E34" t="s">
        <v>69</v>
      </c>
      <c r="F34" t="s">
        <v>70</v>
      </c>
      <c r="G34" t="s">
        <v>71</v>
      </c>
      <c r="H34" t="s">
        <v>59</v>
      </c>
      <c r="I34">
        <v>4</v>
      </c>
      <c r="J34">
        <v>0</v>
      </c>
      <c r="O34">
        <f t="shared" si="10"/>
        <v>3935.85</v>
      </c>
      <c r="P34">
        <f t="shared" si="11"/>
        <v>60.55</v>
      </c>
      <c r="Q34">
        <f t="shared" si="12"/>
        <v>0</v>
      </c>
      <c r="R34">
        <f t="shared" si="13"/>
        <v>0</v>
      </c>
      <c r="S34">
        <f t="shared" si="14"/>
        <v>3875.3</v>
      </c>
      <c r="T34">
        <f t="shared" si="15"/>
        <v>0</v>
      </c>
      <c r="U34">
        <f t="shared" si="16"/>
        <v>20.883999999999997</v>
      </c>
      <c r="V34">
        <f t="shared" si="17"/>
        <v>0</v>
      </c>
      <c r="W34">
        <f t="shared" si="18"/>
        <v>0</v>
      </c>
      <c r="X34">
        <f t="shared" si="19"/>
        <v>2983.98</v>
      </c>
      <c r="Y34">
        <f t="shared" si="20"/>
        <v>1705.13</v>
      </c>
      <c r="AA34">
        <v>30840905</v>
      </c>
      <c r="AB34">
        <f t="shared" si="21"/>
        <v>61.206</v>
      </c>
      <c r="AC34">
        <f t="shared" si="43"/>
        <v>4.35</v>
      </c>
      <c r="AD34">
        <f>ROUND(((ET34*1.25)),6)</f>
        <v>0</v>
      </c>
      <c r="AE34">
        <f>ROUND(((EU34*1.25)),6)</f>
        <v>0</v>
      </c>
      <c r="AF34">
        <f>ROUND(((EV34*1.15)),6)</f>
        <v>56.856</v>
      </c>
      <c r="AG34">
        <f t="shared" si="23"/>
        <v>0</v>
      </c>
      <c r="AH34">
        <f>((EW34*1.15))</f>
        <v>5.220999999999999</v>
      </c>
      <c r="AI34">
        <f>((EX34*1.25))</f>
        <v>0</v>
      </c>
      <c r="AJ34">
        <f t="shared" si="24"/>
        <v>0</v>
      </c>
      <c r="AK34">
        <v>53.79</v>
      </c>
      <c r="AL34">
        <v>4.35</v>
      </c>
      <c r="AM34">
        <v>0</v>
      </c>
      <c r="AN34">
        <v>0</v>
      </c>
      <c r="AO34">
        <v>49.44</v>
      </c>
      <c r="AP34">
        <v>0</v>
      </c>
      <c r="AQ34">
        <v>4.54</v>
      </c>
      <c r="AR34">
        <v>0</v>
      </c>
      <c r="AS34">
        <v>0</v>
      </c>
      <c r="AT34">
        <v>77</v>
      </c>
      <c r="AU34">
        <v>44</v>
      </c>
      <c r="AV34">
        <v>1</v>
      </c>
      <c r="AW34">
        <v>1</v>
      </c>
      <c r="AZ34">
        <v>1</v>
      </c>
      <c r="BA34">
        <v>17.04</v>
      </c>
      <c r="BB34">
        <v>1</v>
      </c>
      <c r="BC34">
        <v>3.48</v>
      </c>
      <c r="BH34">
        <v>0</v>
      </c>
      <c r="BI34">
        <v>1</v>
      </c>
      <c r="BJ34" t="s">
        <v>72</v>
      </c>
      <c r="BM34">
        <v>66</v>
      </c>
      <c r="BN34">
        <v>0</v>
      </c>
      <c r="BO34" t="s">
        <v>70</v>
      </c>
      <c r="BP34">
        <v>1</v>
      </c>
      <c r="BQ34">
        <v>30</v>
      </c>
      <c r="BR34">
        <v>0</v>
      </c>
      <c r="BS34">
        <v>17.04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77</v>
      </c>
      <c r="CA34">
        <v>44</v>
      </c>
      <c r="CF34">
        <v>0</v>
      </c>
      <c r="CG34">
        <v>0</v>
      </c>
      <c r="CM34">
        <v>0</v>
      </c>
      <c r="CO34">
        <v>0</v>
      </c>
      <c r="CP34">
        <f t="shared" si="25"/>
        <v>3935.8500000000004</v>
      </c>
      <c r="CQ34">
        <f t="shared" si="26"/>
        <v>15.137999999999998</v>
      </c>
      <c r="CR34">
        <f t="shared" si="27"/>
        <v>0</v>
      </c>
      <c r="CS34">
        <f t="shared" si="28"/>
        <v>0</v>
      </c>
      <c r="CT34">
        <f t="shared" si="29"/>
        <v>968.82624</v>
      </c>
      <c r="CU34">
        <f t="shared" si="30"/>
        <v>0</v>
      </c>
      <c r="CV34">
        <f t="shared" si="31"/>
        <v>5.220999999999999</v>
      </c>
      <c r="CW34">
        <f t="shared" si="32"/>
        <v>0</v>
      </c>
      <c r="CX34">
        <f t="shared" si="33"/>
        <v>0</v>
      </c>
      <c r="CY34">
        <f t="shared" si="34"/>
        <v>2983.981</v>
      </c>
      <c r="CZ34">
        <f t="shared" si="35"/>
        <v>1705.132</v>
      </c>
      <c r="DE34" t="s">
        <v>51</v>
      </c>
      <c r="DF34" t="s">
        <v>51</v>
      </c>
      <c r="DG34" t="s">
        <v>52</v>
      </c>
      <c r="DI34" t="s">
        <v>52</v>
      </c>
      <c r="DJ34" t="s">
        <v>51</v>
      </c>
      <c r="DN34">
        <v>91</v>
      </c>
      <c r="DO34">
        <v>70</v>
      </c>
      <c r="DP34">
        <v>1.067</v>
      </c>
      <c r="DQ34">
        <v>1.025</v>
      </c>
      <c r="DU34">
        <v>1007</v>
      </c>
      <c r="DV34" t="s">
        <v>59</v>
      </c>
      <c r="DW34" t="s">
        <v>59</v>
      </c>
      <c r="DX34">
        <v>1</v>
      </c>
      <c r="EE34">
        <v>28557199</v>
      </c>
      <c r="EF34">
        <v>30</v>
      </c>
      <c r="EG34" t="s">
        <v>53</v>
      </c>
      <c r="EH34">
        <v>0</v>
      </c>
      <c r="EJ34">
        <v>1</v>
      </c>
      <c r="EK34">
        <v>66</v>
      </c>
      <c r="EL34" t="s">
        <v>73</v>
      </c>
      <c r="EM34" t="s">
        <v>74</v>
      </c>
      <c r="EQ34">
        <v>0</v>
      </c>
      <c r="ER34">
        <v>53.79</v>
      </c>
      <c r="ES34">
        <v>4.35</v>
      </c>
      <c r="ET34">
        <v>0</v>
      </c>
      <c r="EU34">
        <v>0</v>
      </c>
      <c r="EV34">
        <v>49.44</v>
      </c>
      <c r="EW34">
        <v>4.54</v>
      </c>
      <c r="EX34">
        <v>0</v>
      </c>
      <c r="EY34">
        <v>0</v>
      </c>
      <c r="FQ34">
        <v>0</v>
      </c>
      <c r="FR34">
        <f t="shared" si="36"/>
        <v>0</v>
      </c>
      <c r="FS34">
        <v>0</v>
      </c>
      <c r="FX34">
        <v>0</v>
      </c>
      <c r="FY34">
        <v>0</v>
      </c>
      <c r="GD34">
        <v>0</v>
      </c>
      <c r="GF34">
        <v>-256048157</v>
      </c>
      <c r="GG34">
        <v>2</v>
      </c>
      <c r="GH34">
        <v>1</v>
      </c>
      <c r="GI34">
        <v>3</v>
      </c>
      <c r="GJ34">
        <v>0</v>
      </c>
      <c r="GK34">
        <f>ROUND(R34*(R12)/100,2)</f>
        <v>0</v>
      </c>
      <c r="GL34">
        <f t="shared" si="37"/>
        <v>0</v>
      </c>
      <c r="GM34">
        <f t="shared" si="38"/>
        <v>8624.96</v>
      </c>
      <c r="GN34">
        <f t="shared" si="39"/>
        <v>8624.96</v>
      </c>
      <c r="GO34">
        <f t="shared" si="40"/>
        <v>0</v>
      </c>
      <c r="GP34">
        <f t="shared" si="41"/>
        <v>0</v>
      </c>
      <c r="GR34">
        <v>0</v>
      </c>
    </row>
    <row r="35" spans="1:200" ht="12.75">
      <c r="A35">
        <v>18</v>
      </c>
      <c r="B35">
        <v>1</v>
      </c>
      <c r="C35">
        <v>24</v>
      </c>
      <c r="E35" t="s">
        <v>75</v>
      </c>
      <c r="F35" t="s">
        <v>76</v>
      </c>
      <c r="G35" t="s">
        <v>77</v>
      </c>
      <c r="H35" t="s">
        <v>78</v>
      </c>
      <c r="I35">
        <f>I34*J35</f>
        <v>1.52</v>
      </c>
      <c r="J35">
        <v>0.38</v>
      </c>
      <c r="O35">
        <f t="shared" si="10"/>
        <v>14735.76</v>
      </c>
      <c r="P35">
        <f t="shared" si="11"/>
        <v>14735.76</v>
      </c>
      <c r="Q35">
        <f t="shared" si="12"/>
        <v>0</v>
      </c>
      <c r="R35">
        <f t="shared" si="13"/>
        <v>0</v>
      </c>
      <c r="S35">
        <f t="shared" si="14"/>
        <v>0</v>
      </c>
      <c r="T35">
        <f t="shared" si="15"/>
        <v>0</v>
      </c>
      <c r="U35">
        <f t="shared" si="16"/>
        <v>0</v>
      </c>
      <c r="V35">
        <f t="shared" si="17"/>
        <v>0</v>
      </c>
      <c r="W35">
        <f t="shared" si="18"/>
        <v>0</v>
      </c>
      <c r="X35">
        <f t="shared" si="19"/>
        <v>0</v>
      </c>
      <c r="Y35">
        <f t="shared" si="20"/>
        <v>0</v>
      </c>
      <c r="AA35">
        <v>30840905</v>
      </c>
      <c r="AB35">
        <f t="shared" si="21"/>
        <v>1043.55</v>
      </c>
      <c r="AC35">
        <f t="shared" si="43"/>
        <v>1043.55</v>
      </c>
      <c r="AD35">
        <f aca="true" t="shared" si="44" ref="AD35:AF36">ROUND((ET35),6)</f>
        <v>0</v>
      </c>
      <c r="AE35">
        <f t="shared" si="44"/>
        <v>0</v>
      </c>
      <c r="AF35">
        <f t="shared" si="44"/>
        <v>0</v>
      </c>
      <c r="AG35">
        <f t="shared" si="23"/>
        <v>0</v>
      </c>
      <c r="AH35">
        <f>(EW35)</f>
        <v>0</v>
      </c>
      <c r="AI35">
        <f>(EX35)</f>
        <v>0</v>
      </c>
      <c r="AJ35">
        <f t="shared" si="24"/>
        <v>0</v>
      </c>
      <c r="AK35">
        <v>1043.55</v>
      </c>
      <c r="AL35">
        <v>1043.55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9.29</v>
      </c>
      <c r="BH35">
        <v>3</v>
      </c>
      <c r="BI35">
        <v>1</v>
      </c>
      <c r="BJ35" t="s">
        <v>79</v>
      </c>
      <c r="BM35">
        <v>66</v>
      </c>
      <c r="BN35">
        <v>0</v>
      </c>
      <c r="BO35" t="s">
        <v>76</v>
      </c>
      <c r="BP35">
        <v>1</v>
      </c>
      <c r="BQ35">
        <v>30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91</v>
      </c>
      <c r="CA35">
        <v>70</v>
      </c>
      <c r="CF35">
        <v>0</v>
      </c>
      <c r="CG35">
        <v>0</v>
      </c>
      <c r="CM35">
        <v>0</v>
      </c>
      <c r="CO35">
        <v>0</v>
      </c>
      <c r="CP35">
        <f t="shared" si="25"/>
        <v>14735.76</v>
      </c>
      <c r="CQ35">
        <f t="shared" si="26"/>
        <v>9694.579499999998</v>
      </c>
      <c r="CR35">
        <f t="shared" si="27"/>
        <v>0</v>
      </c>
      <c r="CS35">
        <f t="shared" si="28"/>
        <v>0</v>
      </c>
      <c r="CT35">
        <f t="shared" si="29"/>
        <v>0</v>
      </c>
      <c r="CU35">
        <f t="shared" si="30"/>
        <v>0</v>
      </c>
      <c r="CV35">
        <f t="shared" si="31"/>
        <v>0</v>
      </c>
      <c r="CW35">
        <f t="shared" si="32"/>
        <v>0</v>
      </c>
      <c r="CX35">
        <f t="shared" si="33"/>
        <v>0</v>
      </c>
      <c r="CY35">
        <f t="shared" si="34"/>
        <v>0</v>
      </c>
      <c r="CZ35">
        <f t="shared" si="35"/>
        <v>0</v>
      </c>
      <c r="DN35">
        <v>91</v>
      </c>
      <c r="DO35">
        <v>70</v>
      </c>
      <c r="DP35">
        <v>1.067</v>
      </c>
      <c r="DQ35">
        <v>1.025</v>
      </c>
      <c r="DU35">
        <v>1010</v>
      </c>
      <c r="DV35" t="s">
        <v>78</v>
      </c>
      <c r="DW35" t="s">
        <v>78</v>
      </c>
      <c r="DX35">
        <v>1000</v>
      </c>
      <c r="EE35">
        <v>28557199</v>
      </c>
      <c r="EF35">
        <v>30</v>
      </c>
      <c r="EG35" t="s">
        <v>53</v>
      </c>
      <c r="EH35">
        <v>0</v>
      </c>
      <c r="EJ35">
        <v>1</v>
      </c>
      <c r="EK35">
        <v>66</v>
      </c>
      <c r="EL35" t="s">
        <v>73</v>
      </c>
      <c r="EM35" t="s">
        <v>74</v>
      </c>
      <c r="EQ35">
        <v>0</v>
      </c>
      <c r="ER35">
        <v>1043.55</v>
      </c>
      <c r="ES35">
        <v>1043.55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36"/>
        <v>0</v>
      </c>
      <c r="FS35">
        <v>0</v>
      </c>
      <c r="FX35">
        <v>91</v>
      </c>
      <c r="FY35">
        <v>70</v>
      </c>
      <c r="GD35">
        <v>0</v>
      </c>
      <c r="GF35">
        <v>1425145694</v>
      </c>
      <c r="GG35">
        <v>2</v>
      </c>
      <c r="GH35">
        <v>1</v>
      </c>
      <c r="GI35">
        <v>3</v>
      </c>
      <c r="GJ35">
        <v>0</v>
      </c>
      <c r="GK35">
        <f>ROUND(R35*(R12)/100,2)</f>
        <v>0</v>
      </c>
      <c r="GL35">
        <f t="shared" si="37"/>
        <v>0</v>
      </c>
      <c r="GM35">
        <f t="shared" si="38"/>
        <v>14735.76</v>
      </c>
      <c r="GN35">
        <f t="shared" si="39"/>
        <v>14735.76</v>
      </c>
      <c r="GO35">
        <f t="shared" si="40"/>
        <v>0</v>
      </c>
      <c r="GP35">
        <f t="shared" si="41"/>
        <v>0</v>
      </c>
      <c r="GR35">
        <v>0</v>
      </c>
    </row>
    <row r="36" spans="1:200" ht="12.75">
      <c r="A36">
        <v>18</v>
      </c>
      <c r="B36">
        <v>1</v>
      </c>
      <c r="C36">
        <v>26</v>
      </c>
      <c r="E36" t="s">
        <v>80</v>
      </c>
      <c r="F36" t="s">
        <v>81</v>
      </c>
      <c r="G36" t="s">
        <v>82</v>
      </c>
      <c r="H36" t="s">
        <v>59</v>
      </c>
      <c r="I36">
        <f>I34*J36</f>
        <v>0.96</v>
      </c>
      <c r="J36">
        <v>0.24</v>
      </c>
      <c r="O36">
        <f t="shared" si="10"/>
        <v>3168.47</v>
      </c>
      <c r="P36">
        <f t="shared" si="11"/>
        <v>3168.47</v>
      </c>
      <c r="Q36">
        <f t="shared" si="12"/>
        <v>0</v>
      </c>
      <c r="R36">
        <f t="shared" si="13"/>
        <v>0</v>
      </c>
      <c r="S36">
        <f t="shared" si="14"/>
        <v>0</v>
      </c>
      <c r="T36">
        <f t="shared" si="15"/>
        <v>0</v>
      </c>
      <c r="U36">
        <f t="shared" si="16"/>
        <v>0</v>
      </c>
      <c r="V36">
        <f t="shared" si="17"/>
        <v>0</v>
      </c>
      <c r="W36">
        <f t="shared" si="18"/>
        <v>0</v>
      </c>
      <c r="X36">
        <f t="shared" si="19"/>
        <v>0</v>
      </c>
      <c r="Y36">
        <f t="shared" si="20"/>
        <v>0</v>
      </c>
      <c r="AA36">
        <v>30840905</v>
      </c>
      <c r="AB36">
        <f t="shared" si="21"/>
        <v>477.64</v>
      </c>
      <c r="AC36">
        <f t="shared" si="43"/>
        <v>477.64</v>
      </c>
      <c r="AD36">
        <f t="shared" si="44"/>
        <v>0</v>
      </c>
      <c r="AE36">
        <f t="shared" si="44"/>
        <v>0</v>
      </c>
      <c r="AF36">
        <f t="shared" si="44"/>
        <v>0</v>
      </c>
      <c r="AG36">
        <f t="shared" si="23"/>
        <v>0</v>
      </c>
      <c r="AH36">
        <f>(EW36)</f>
        <v>0</v>
      </c>
      <c r="AI36">
        <f>(EX36)</f>
        <v>0</v>
      </c>
      <c r="AJ36">
        <f t="shared" si="24"/>
        <v>0</v>
      </c>
      <c r="AK36">
        <v>477.64</v>
      </c>
      <c r="AL36">
        <v>477.64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6.91</v>
      </c>
      <c r="BH36">
        <v>3</v>
      </c>
      <c r="BI36">
        <v>1</v>
      </c>
      <c r="BJ36" t="s">
        <v>83</v>
      </c>
      <c r="BM36">
        <v>66</v>
      </c>
      <c r="BN36">
        <v>0</v>
      </c>
      <c r="BO36" t="s">
        <v>81</v>
      </c>
      <c r="BP36">
        <v>1</v>
      </c>
      <c r="BQ36">
        <v>30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91</v>
      </c>
      <c r="CA36">
        <v>70</v>
      </c>
      <c r="CF36">
        <v>0</v>
      </c>
      <c r="CG36">
        <v>0</v>
      </c>
      <c r="CM36">
        <v>0</v>
      </c>
      <c r="CO36">
        <v>0</v>
      </c>
      <c r="CP36">
        <f t="shared" si="25"/>
        <v>3168.47</v>
      </c>
      <c r="CQ36">
        <f t="shared" si="26"/>
        <v>3300.4924</v>
      </c>
      <c r="CR36">
        <f t="shared" si="27"/>
        <v>0</v>
      </c>
      <c r="CS36">
        <f t="shared" si="28"/>
        <v>0</v>
      </c>
      <c r="CT36">
        <f t="shared" si="29"/>
        <v>0</v>
      </c>
      <c r="CU36">
        <f t="shared" si="30"/>
        <v>0</v>
      </c>
      <c r="CV36">
        <f t="shared" si="31"/>
        <v>0</v>
      </c>
      <c r="CW36">
        <f t="shared" si="32"/>
        <v>0</v>
      </c>
      <c r="CX36">
        <f t="shared" si="33"/>
        <v>0</v>
      </c>
      <c r="CY36">
        <f t="shared" si="34"/>
        <v>0</v>
      </c>
      <c r="CZ36">
        <f t="shared" si="35"/>
        <v>0</v>
      </c>
      <c r="DN36">
        <v>91</v>
      </c>
      <c r="DO36">
        <v>70</v>
      </c>
      <c r="DP36">
        <v>1.067</v>
      </c>
      <c r="DQ36">
        <v>1.025</v>
      </c>
      <c r="DU36">
        <v>1007</v>
      </c>
      <c r="DV36" t="s">
        <v>59</v>
      </c>
      <c r="DW36" t="s">
        <v>59</v>
      </c>
      <c r="DX36">
        <v>1</v>
      </c>
      <c r="EE36">
        <v>28557199</v>
      </c>
      <c r="EF36">
        <v>30</v>
      </c>
      <c r="EG36" t="s">
        <v>53</v>
      </c>
      <c r="EH36">
        <v>0</v>
      </c>
      <c r="EJ36">
        <v>1</v>
      </c>
      <c r="EK36">
        <v>66</v>
      </c>
      <c r="EL36" t="s">
        <v>73</v>
      </c>
      <c r="EM36" t="s">
        <v>74</v>
      </c>
      <c r="EQ36">
        <v>0</v>
      </c>
      <c r="ER36">
        <v>477.64</v>
      </c>
      <c r="ES36">
        <v>477.64</v>
      </c>
      <c r="ET36">
        <v>0</v>
      </c>
      <c r="EU36">
        <v>0</v>
      </c>
      <c r="EV36">
        <v>0</v>
      </c>
      <c r="EW36">
        <v>0</v>
      </c>
      <c r="EX36">
        <v>0</v>
      </c>
      <c r="FQ36">
        <v>0</v>
      </c>
      <c r="FR36">
        <f t="shared" si="36"/>
        <v>0</v>
      </c>
      <c r="FS36">
        <v>0</v>
      </c>
      <c r="FX36">
        <v>91</v>
      </c>
      <c r="FY36">
        <v>70</v>
      </c>
      <c r="GD36">
        <v>0</v>
      </c>
      <c r="GF36">
        <v>62111432</v>
      </c>
      <c r="GG36">
        <v>2</v>
      </c>
      <c r="GH36">
        <v>1</v>
      </c>
      <c r="GI36">
        <v>3</v>
      </c>
      <c r="GJ36">
        <v>0</v>
      </c>
      <c r="GK36">
        <f>ROUND(R36*(R12)/100,2)</f>
        <v>0</v>
      </c>
      <c r="GL36">
        <f t="shared" si="37"/>
        <v>0</v>
      </c>
      <c r="GM36">
        <f t="shared" si="38"/>
        <v>3168.47</v>
      </c>
      <c r="GN36">
        <f t="shared" si="39"/>
        <v>3168.47</v>
      </c>
      <c r="GO36">
        <f t="shared" si="40"/>
        <v>0</v>
      </c>
      <c r="GP36">
        <f t="shared" si="41"/>
        <v>0</v>
      </c>
      <c r="GR36">
        <v>0</v>
      </c>
    </row>
    <row r="37" spans="1:200" ht="12.75">
      <c r="A37">
        <v>17</v>
      </c>
      <c r="B37">
        <v>1</v>
      </c>
      <c r="C37">
        <f>ROW(SmtRes!A34)</f>
        <v>34</v>
      </c>
      <c r="D37">
        <f>ROW(EtalonRes!A33)</f>
        <v>33</v>
      </c>
      <c r="E37" t="s">
        <v>84</v>
      </c>
      <c r="F37" t="s">
        <v>85</v>
      </c>
      <c r="G37" t="s">
        <v>86</v>
      </c>
      <c r="H37" t="s">
        <v>16</v>
      </c>
      <c r="I37">
        <f>ROUND(352/100,9)</f>
        <v>3.52</v>
      </c>
      <c r="J37">
        <v>0</v>
      </c>
      <c r="O37">
        <f t="shared" si="10"/>
        <v>266298.48</v>
      </c>
      <c r="P37">
        <f t="shared" si="11"/>
        <v>150998.45</v>
      </c>
      <c r="Q37">
        <f t="shared" si="12"/>
        <v>8789.15</v>
      </c>
      <c r="R37">
        <f t="shared" si="13"/>
        <v>4528.55</v>
      </c>
      <c r="S37">
        <f t="shared" si="14"/>
        <v>106510.88</v>
      </c>
      <c r="T37">
        <f t="shared" si="15"/>
        <v>0</v>
      </c>
      <c r="U37">
        <f t="shared" si="16"/>
        <v>538.384</v>
      </c>
      <c r="V37">
        <f t="shared" si="17"/>
        <v>0</v>
      </c>
      <c r="W37">
        <f t="shared" si="18"/>
        <v>0</v>
      </c>
      <c r="X37">
        <f t="shared" si="19"/>
        <v>90534.25</v>
      </c>
      <c r="Y37">
        <f t="shared" si="20"/>
        <v>46864.79</v>
      </c>
      <c r="AA37">
        <v>30840905</v>
      </c>
      <c r="AB37">
        <f t="shared" si="21"/>
        <v>5905.782</v>
      </c>
      <c r="AC37">
        <f t="shared" si="43"/>
        <v>3796.22</v>
      </c>
      <c r="AD37">
        <f>ROUND(((ET37*1.25)),6)</f>
        <v>333.8125</v>
      </c>
      <c r="AE37">
        <f>ROUND(((EU37*1.25)),6)</f>
        <v>75.5</v>
      </c>
      <c r="AF37">
        <f>ROUND(((EV37*1.15)),6)</f>
        <v>1775.7495</v>
      </c>
      <c r="AG37">
        <f t="shared" si="23"/>
        <v>0</v>
      </c>
      <c r="AH37">
        <f>((EW37*1.15))</f>
        <v>152.95</v>
      </c>
      <c r="AI37">
        <f>((EX37*1.25))</f>
        <v>0</v>
      </c>
      <c r="AJ37">
        <f t="shared" si="24"/>
        <v>0</v>
      </c>
      <c r="AK37">
        <v>5607.4</v>
      </c>
      <c r="AL37">
        <v>3796.22</v>
      </c>
      <c r="AM37">
        <v>267.05</v>
      </c>
      <c r="AN37">
        <v>60.4</v>
      </c>
      <c r="AO37">
        <v>1544.13</v>
      </c>
      <c r="AP37">
        <v>0</v>
      </c>
      <c r="AQ37">
        <v>133</v>
      </c>
      <c r="AR37">
        <v>0</v>
      </c>
      <c r="AS37">
        <v>0</v>
      </c>
      <c r="AT37">
        <v>85</v>
      </c>
      <c r="AU37">
        <v>44</v>
      </c>
      <c r="AV37">
        <v>1</v>
      </c>
      <c r="AW37">
        <v>1</v>
      </c>
      <c r="AZ37">
        <v>1</v>
      </c>
      <c r="BA37">
        <v>17.04</v>
      </c>
      <c r="BB37">
        <v>7.48</v>
      </c>
      <c r="BC37">
        <v>11.3</v>
      </c>
      <c r="BH37">
        <v>0</v>
      </c>
      <c r="BI37">
        <v>1</v>
      </c>
      <c r="BJ37" t="s">
        <v>87</v>
      </c>
      <c r="BM37">
        <v>115</v>
      </c>
      <c r="BN37">
        <v>0</v>
      </c>
      <c r="BO37" t="s">
        <v>85</v>
      </c>
      <c r="BP37">
        <v>1</v>
      </c>
      <c r="BQ37">
        <v>30</v>
      </c>
      <c r="BR37">
        <v>0</v>
      </c>
      <c r="BS37">
        <v>17.04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85</v>
      </c>
      <c r="CA37">
        <v>44</v>
      </c>
      <c r="CF37">
        <v>0</v>
      </c>
      <c r="CG37">
        <v>0</v>
      </c>
      <c r="CM37">
        <v>0</v>
      </c>
      <c r="CO37">
        <v>0</v>
      </c>
      <c r="CP37">
        <f t="shared" si="25"/>
        <v>266298.48</v>
      </c>
      <c r="CQ37">
        <f t="shared" si="26"/>
        <v>42897.286</v>
      </c>
      <c r="CR37">
        <f t="shared" si="27"/>
        <v>2496.9175</v>
      </c>
      <c r="CS37">
        <f t="shared" si="28"/>
        <v>1286.52</v>
      </c>
      <c r="CT37">
        <f t="shared" si="29"/>
        <v>30258.771479999996</v>
      </c>
      <c r="CU37">
        <f t="shared" si="30"/>
        <v>0</v>
      </c>
      <c r="CV37">
        <f t="shared" si="31"/>
        <v>152.95</v>
      </c>
      <c r="CW37">
        <f t="shared" si="32"/>
        <v>0</v>
      </c>
      <c r="CX37">
        <f t="shared" si="33"/>
        <v>0</v>
      </c>
      <c r="CY37">
        <f t="shared" si="34"/>
        <v>90534.248</v>
      </c>
      <c r="CZ37">
        <f t="shared" si="35"/>
        <v>46864.7872</v>
      </c>
      <c r="DE37" t="s">
        <v>51</v>
      </c>
      <c r="DF37" t="s">
        <v>51</v>
      </c>
      <c r="DG37" t="s">
        <v>52</v>
      </c>
      <c r="DI37" t="s">
        <v>52</v>
      </c>
      <c r="DJ37" t="s">
        <v>51</v>
      </c>
      <c r="DN37">
        <v>100</v>
      </c>
      <c r="DO37">
        <v>64</v>
      </c>
      <c r="DP37">
        <v>1.025</v>
      </c>
      <c r="DQ37">
        <v>1</v>
      </c>
      <c r="DU37">
        <v>1005</v>
      </c>
      <c r="DV37" t="s">
        <v>16</v>
      </c>
      <c r="DW37" t="s">
        <v>16</v>
      </c>
      <c r="DX37">
        <v>100</v>
      </c>
      <c r="EE37">
        <v>28557248</v>
      </c>
      <c r="EF37">
        <v>30</v>
      </c>
      <c r="EG37" t="s">
        <v>53</v>
      </c>
      <c r="EH37">
        <v>0</v>
      </c>
      <c r="EJ37">
        <v>1</v>
      </c>
      <c r="EK37">
        <v>115</v>
      </c>
      <c r="EL37" t="s">
        <v>88</v>
      </c>
      <c r="EM37" t="s">
        <v>89</v>
      </c>
      <c r="EQ37">
        <v>0</v>
      </c>
      <c r="ER37">
        <v>5607.4</v>
      </c>
      <c r="ES37">
        <v>3796.22</v>
      </c>
      <c r="ET37">
        <v>267.05</v>
      </c>
      <c r="EU37">
        <v>60.4</v>
      </c>
      <c r="EV37">
        <v>1544.13</v>
      </c>
      <c r="EW37">
        <v>133</v>
      </c>
      <c r="EX37">
        <v>0</v>
      </c>
      <c r="EY37">
        <v>0</v>
      </c>
      <c r="FQ37">
        <v>0</v>
      </c>
      <c r="FR37">
        <f t="shared" si="36"/>
        <v>0</v>
      </c>
      <c r="FS37">
        <v>0</v>
      </c>
      <c r="FX37">
        <v>0</v>
      </c>
      <c r="FY37">
        <v>0</v>
      </c>
      <c r="GD37">
        <v>0</v>
      </c>
      <c r="GF37">
        <v>1495876289</v>
      </c>
      <c r="GG37">
        <v>2</v>
      </c>
      <c r="GH37">
        <v>1</v>
      </c>
      <c r="GI37">
        <v>3</v>
      </c>
      <c r="GJ37">
        <v>0</v>
      </c>
      <c r="GK37">
        <f>ROUND(R37*(R12)/100,2)</f>
        <v>7562.68</v>
      </c>
      <c r="GL37">
        <f t="shared" si="37"/>
        <v>0</v>
      </c>
      <c r="GM37">
        <f t="shared" si="38"/>
        <v>411260.19999999995</v>
      </c>
      <c r="GN37">
        <f t="shared" si="39"/>
        <v>411260.2</v>
      </c>
      <c r="GO37">
        <f t="shared" si="40"/>
        <v>0</v>
      </c>
      <c r="GP37">
        <f t="shared" si="41"/>
        <v>0</v>
      </c>
      <c r="GR37">
        <v>0</v>
      </c>
    </row>
    <row r="38" spans="1:200" ht="12.75">
      <c r="A38">
        <v>18</v>
      </c>
      <c r="B38">
        <v>1</v>
      </c>
      <c r="C38">
        <v>34</v>
      </c>
      <c r="E38" t="s">
        <v>90</v>
      </c>
      <c r="F38" t="s">
        <v>91</v>
      </c>
      <c r="G38" t="s">
        <v>92</v>
      </c>
      <c r="H38" t="s">
        <v>23</v>
      </c>
      <c r="I38">
        <f>I37*J38</f>
        <v>3.6664319999999995</v>
      </c>
      <c r="J38">
        <v>1.0415999999999999</v>
      </c>
      <c r="O38">
        <f t="shared" si="10"/>
        <v>16081.32</v>
      </c>
      <c r="P38">
        <f t="shared" si="11"/>
        <v>16081.32</v>
      </c>
      <c r="Q38">
        <f t="shared" si="12"/>
        <v>0</v>
      </c>
      <c r="R38">
        <f t="shared" si="13"/>
        <v>0</v>
      </c>
      <c r="S38">
        <f t="shared" si="14"/>
        <v>0</v>
      </c>
      <c r="T38">
        <f t="shared" si="15"/>
        <v>0</v>
      </c>
      <c r="U38">
        <f t="shared" si="16"/>
        <v>0</v>
      </c>
      <c r="V38">
        <f t="shared" si="17"/>
        <v>0</v>
      </c>
      <c r="W38">
        <f t="shared" si="18"/>
        <v>0</v>
      </c>
      <c r="X38">
        <f t="shared" si="19"/>
        <v>0</v>
      </c>
      <c r="Y38">
        <f t="shared" si="20"/>
        <v>0</v>
      </c>
      <c r="AA38">
        <v>30840905</v>
      </c>
      <c r="AB38">
        <f t="shared" si="21"/>
        <v>1517.68</v>
      </c>
      <c r="AC38">
        <f t="shared" si="43"/>
        <v>1517.68</v>
      </c>
      <c r="AD38">
        <f aca="true" t="shared" si="45" ref="AD38:AF39">ROUND((ET38),6)</f>
        <v>0</v>
      </c>
      <c r="AE38">
        <f t="shared" si="45"/>
        <v>0</v>
      </c>
      <c r="AF38">
        <f t="shared" si="45"/>
        <v>0</v>
      </c>
      <c r="AG38">
        <f t="shared" si="23"/>
        <v>0</v>
      </c>
      <c r="AH38">
        <f>(EW38)</f>
        <v>0</v>
      </c>
      <c r="AI38">
        <f>(EX38)</f>
        <v>0</v>
      </c>
      <c r="AJ38">
        <f t="shared" si="24"/>
        <v>0</v>
      </c>
      <c r="AK38">
        <v>1517.68</v>
      </c>
      <c r="AL38">
        <v>1517.68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2.89</v>
      </c>
      <c r="BH38">
        <v>3</v>
      </c>
      <c r="BI38">
        <v>1</v>
      </c>
      <c r="BJ38" t="s">
        <v>93</v>
      </c>
      <c r="BM38">
        <v>115</v>
      </c>
      <c r="BN38">
        <v>0</v>
      </c>
      <c r="BO38" t="s">
        <v>91</v>
      </c>
      <c r="BP38">
        <v>1</v>
      </c>
      <c r="BQ38">
        <v>30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100</v>
      </c>
      <c r="CA38">
        <v>64</v>
      </c>
      <c r="CF38">
        <v>0</v>
      </c>
      <c r="CG38">
        <v>0</v>
      </c>
      <c r="CM38">
        <v>0</v>
      </c>
      <c r="CO38">
        <v>0</v>
      </c>
      <c r="CP38">
        <f t="shared" si="25"/>
        <v>16081.32</v>
      </c>
      <c r="CQ38">
        <f t="shared" si="26"/>
        <v>4386.095200000001</v>
      </c>
      <c r="CR38">
        <f t="shared" si="27"/>
        <v>0</v>
      </c>
      <c r="CS38">
        <f t="shared" si="28"/>
        <v>0</v>
      </c>
      <c r="CT38">
        <f t="shared" si="29"/>
        <v>0</v>
      </c>
      <c r="CU38">
        <f t="shared" si="30"/>
        <v>0</v>
      </c>
      <c r="CV38">
        <f t="shared" si="31"/>
        <v>0</v>
      </c>
      <c r="CW38">
        <f t="shared" si="32"/>
        <v>0</v>
      </c>
      <c r="CX38">
        <f t="shared" si="33"/>
        <v>0</v>
      </c>
      <c r="CY38">
        <f t="shared" si="34"/>
        <v>0</v>
      </c>
      <c r="CZ38">
        <f t="shared" si="35"/>
        <v>0</v>
      </c>
      <c r="DN38">
        <v>100</v>
      </c>
      <c r="DO38">
        <v>64</v>
      </c>
      <c r="DP38">
        <v>1.025</v>
      </c>
      <c r="DQ38">
        <v>1</v>
      </c>
      <c r="DU38">
        <v>1009</v>
      </c>
      <c r="DV38" t="s">
        <v>23</v>
      </c>
      <c r="DW38" t="s">
        <v>23</v>
      </c>
      <c r="DX38">
        <v>1000</v>
      </c>
      <c r="EE38">
        <v>28557248</v>
      </c>
      <c r="EF38">
        <v>30</v>
      </c>
      <c r="EG38" t="s">
        <v>53</v>
      </c>
      <c r="EH38">
        <v>0</v>
      </c>
      <c r="EJ38">
        <v>1</v>
      </c>
      <c r="EK38">
        <v>115</v>
      </c>
      <c r="EL38" t="s">
        <v>88</v>
      </c>
      <c r="EM38" t="s">
        <v>89</v>
      </c>
      <c r="EQ38">
        <v>0</v>
      </c>
      <c r="ER38">
        <v>1517.68</v>
      </c>
      <c r="ES38">
        <v>1517.68</v>
      </c>
      <c r="ET38">
        <v>0</v>
      </c>
      <c r="EU38">
        <v>0</v>
      </c>
      <c r="EV38">
        <v>0</v>
      </c>
      <c r="EW38">
        <v>0</v>
      </c>
      <c r="EX38">
        <v>0</v>
      </c>
      <c r="FQ38">
        <v>0</v>
      </c>
      <c r="FR38">
        <f t="shared" si="36"/>
        <v>0</v>
      </c>
      <c r="FS38">
        <v>0</v>
      </c>
      <c r="FX38">
        <v>100</v>
      </c>
      <c r="FY38">
        <v>64</v>
      </c>
      <c r="GD38">
        <v>0</v>
      </c>
      <c r="GF38">
        <v>-2099913476</v>
      </c>
      <c r="GG38">
        <v>2</v>
      </c>
      <c r="GH38">
        <v>1</v>
      </c>
      <c r="GI38">
        <v>3</v>
      </c>
      <c r="GJ38">
        <v>0</v>
      </c>
      <c r="GK38">
        <f>ROUND(R38*(R12)/100,2)</f>
        <v>0</v>
      </c>
      <c r="GL38">
        <f t="shared" si="37"/>
        <v>0</v>
      </c>
      <c r="GM38">
        <f t="shared" si="38"/>
        <v>16081.32</v>
      </c>
      <c r="GN38">
        <f t="shared" si="39"/>
        <v>16081.32</v>
      </c>
      <c r="GO38">
        <f t="shared" si="40"/>
        <v>0</v>
      </c>
      <c r="GP38">
        <f t="shared" si="41"/>
        <v>0</v>
      </c>
      <c r="GR38">
        <v>0</v>
      </c>
    </row>
    <row r="39" spans="1:200" ht="12.75">
      <c r="A39">
        <v>18</v>
      </c>
      <c r="B39">
        <v>1</v>
      </c>
      <c r="C39">
        <v>33</v>
      </c>
      <c r="E39" t="s">
        <v>94</v>
      </c>
      <c r="F39" t="s">
        <v>95</v>
      </c>
      <c r="G39" t="s">
        <v>96</v>
      </c>
      <c r="H39" t="s">
        <v>59</v>
      </c>
      <c r="I39">
        <f>I37*J39</f>
        <v>9.16608</v>
      </c>
      <c r="J39">
        <v>2.6039999999999996</v>
      </c>
      <c r="O39">
        <f t="shared" si="10"/>
        <v>32231.03</v>
      </c>
      <c r="P39">
        <f t="shared" si="11"/>
        <v>32231.03</v>
      </c>
      <c r="Q39">
        <f t="shared" si="12"/>
        <v>0</v>
      </c>
      <c r="R39">
        <f t="shared" si="13"/>
        <v>0</v>
      </c>
      <c r="S39">
        <f t="shared" si="14"/>
        <v>0</v>
      </c>
      <c r="T39">
        <f t="shared" si="15"/>
        <v>0</v>
      </c>
      <c r="U39">
        <f t="shared" si="16"/>
        <v>0</v>
      </c>
      <c r="V39">
        <f t="shared" si="17"/>
        <v>0</v>
      </c>
      <c r="W39">
        <f t="shared" si="18"/>
        <v>0</v>
      </c>
      <c r="X39">
        <f t="shared" si="19"/>
        <v>0</v>
      </c>
      <c r="Y39">
        <f t="shared" si="20"/>
        <v>0</v>
      </c>
      <c r="AA39">
        <v>30840905</v>
      </c>
      <c r="AB39">
        <f t="shared" si="21"/>
        <v>481.69</v>
      </c>
      <c r="AC39">
        <f t="shared" si="43"/>
        <v>481.69</v>
      </c>
      <c r="AD39">
        <f t="shared" si="45"/>
        <v>0</v>
      </c>
      <c r="AE39">
        <f t="shared" si="45"/>
        <v>0</v>
      </c>
      <c r="AF39">
        <f t="shared" si="45"/>
        <v>0</v>
      </c>
      <c r="AG39">
        <f t="shared" si="23"/>
        <v>0</v>
      </c>
      <c r="AH39">
        <f>(EW39)</f>
        <v>0</v>
      </c>
      <c r="AI39">
        <f>(EX39)</f>
        <v>0</v>
      </c>
      <c r="AJ39">
        <f t="shared" si="24"/>
        <v>0</v>
      </c>
      <c r="AK39">
        <v>481.69</v>
      </c>
      <c r="AL39">
        <v>481.69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7.3</v>
      </c>
      <c r="BH39">
        <v>3</v>
      </c>
      <c r="BI39">
        <v>1</v>
      </c>
      <c r="BJ39" t="s">
        <v>97</v>
      </c>
      <c r="BM39">
        <v>115</v>
      </c>
      <c r="BN39">
        <v>0</v>
      </c>
      <c r="BO39" t="s">
        <v>95</v>
      </c>
      <c r="BP39">
        <v>1</v>
      </c>
      <c r="BQ39">
        <v>30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100</v>
      </c>
      <c r="CA39">
        <v>64</v>
      </c>
      <c r="CF39">
        <v>0</v>
      </c>
      <c r="CG39">
        <v>0</v>
      </c>
      <c r="CM39">
        <v>0</v>
      </c>
      <c r="CO39">
        <v>0</v>
      </c>
      <c r="CP39">
        <f t="shared" si="25"/>
        <v>32231.03</v>
      </c>
      <c r="CQ39">
        <f t="shared" si="26"/>
        <v>3516.337</v>
      </c>
      <c r="CR39">
        <f t="shared" si="27"/>
        <v>0</v>
      </c>
      <c r="CS39">
        <f t="shared" si="28"/>
        <v>0</v>
      </c>
      <c r="CT39">
        <f t="shared" si="29"/>
        <v>0</v>
      </c>
      <c r="CU39">
        <f t="shared" si="30"/>
        <v>0</v>
      </c>
      <c r="CV39">
        <f t="shared" si="31"/>
        <v>0</v>
      </c>
      <c r="CW39">
        <f t="shared" si="32"/>
        <v>0</v>
      </c>
      <c r="CX39">
        <f t="shared" si="33"/>
        <v>0</v>
      </c>
      <c r="CY39">
        <f t="shared" si="34"/>
        <v>0</v>
      </c>
      <c r="CZ39">
        <f t="shared" si="35"/>
        <v>0</v>
      </c>
      <c r="DN39">
        <v>100</v>
      </c>
      <c r="DO39">
        <v>64</v>
      </c>
      <c r="DP39">
        <v>1.025</v>
      </c>
      <c r="DQ39">
        <v>1</v>
      </c>
      <c r="DU39">
        <v>1007</v>
      </c>
      <c r="DV39" t="s">
        <v>59</v>
      </c>
      <c r="DW39" t="s">
        <v>59</v>
      </c>
      <c r="DX39">
        <v>1</v>
      </c>
      <c r="EE39">
        <v>28557248</v>
      </c>
      <c r="EF39">
        <v>30</v>
      </c>
      <c r="EG39" t="s">
        <v>53</v>
      </c>
      <c r="EH39">
        <v>0</v>
      </c>
      <c r="EJ39">
        <v>1</v>
      </c>
      <c r="EK39">
        <v>115</v>
      </c>
      <c r="EL39" t="s">
        <v>88</v>
      </c>
      <c r="EM39" t="s">
        <v>89</v>
      </c>
      <c r="EQ39">
        <v>0</v>
      </c>
      <c r="ER39">
        <v>481.69</v>
      </c>
      <c r="ES39">
        <v>481.69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36"/>
        <v>0</v>
      </c>
      <c r="FS39">
        <v>0</v>
      </c>
      <c r="FX39">
        <v>100</v>
      </c>
      <c r="FY39">
        <v>64</v>
      </c>
      <c r="GD39">
        <v>0</v>
      </c>
      <c r="GF39">
        <v>-2108328104</v>
      </c>
      <c r="GG39">
        <v>2</v>
      </c>
      <c r="GH39">
        <v>1</v>
      </c>
      <c r="GI39">
        <v>3</v>
      </c>
      <c r="GJ39">
        <v>0</v>
      </c>
      <c r="GK39">
        <f>ROUND(R39*(R12)/100,2)</f>
        <v>0</v>
      </c>
      <c r="GL39">
        <f t="shared" si="37"/>
        <v>0</v>
      </c>
      <c r="GM39">
        <f t="shared" si="38"/>
        <v>32231.03</v>
      </c>
      <c r="GN39">
        <f t="shared" si="39"/>
        <v>32231.03</v>
      </c>
      <c r="GO39">
        <f t="shared" si="40"/>
        <v>0</v>
      </c>
      <c r="GP39">
        <f t="shared" si="41"/>
        <v>0</v>
      </c>
      <c r="GR39">
        <v>0</v>
      </c>
    </row>
    <row r="40" spans="1:200" ht="12.75">
      <c r="A40">
        <v>17</v>
      </c>
      <c r="B40">
        <v>1</v>
      </c>
      <c r="C40">
        <f>ROW(SmtRes!A38)</f>
        <v>38</v>
      </c>
      <c r="D40">
        <f>ROW(EtalonRes!A37)</f>
        <v>37</v>
      </c>
      <c r="E40" t="s">
        <v>98</v>
      </c>
      <c r="F40" t="s">
        <v>99</v>
      </c>
      <c r="G40" t="s">
        <v>100</v>
      </c>
      <c r="H40" t="s">
        <v>16</v>
      </c>
      <c r="I40">
        <f>ROUND(352/100,9)</f>
        <v>3.52</v>
      </c>
      <c r="J40">
        <v>0</v>
      </c>
      <c r="O40">
        <f t="shared" si="10"/>
        <v>19209.87</v>
      </c>
      <c r="P40">
        <f t="shared" si="11"/>
        <v>60.12</v>
      </c>
      <c r="Q40">
        <f t="shared" si="12"/>
        <v>645.04</v>
      </c>
      <c r="R40">
        <f t="shared" si="13"/>
        <v>290.16</v>
      </c>
      <c r="S40">
        <f t="shared" si="14"/>
        <v>18504.71</v>
      </c>
      <c r="T40">
        <f t="shared" si="15"/>
        <v>0</v>
      </c>
      <c r="U40">
        <f t="shared" si="16"/>
        <v>90.2704</v>
      </c>
      <c r="V40">
        <f t="shared" si="17"/>
        <v>0</v>
      </c>
      <c r="W40">
        <f t="shared" si="18"/>
        <v>0</v>
      </c>
      <c r="X40">
        <f t="shared" si="19"/>
        <v>15729</v>
      </c>
      <c r="Y40">
        <f t="shared" si="20"/>
        <v>8142.07</v>
      </c>
      <c r="AA40">
        <v>30840905</v>
      </c>
      <c r="AB40">
        <f t="shared" si="21"/>
        <v>332.4855</v>
      </c>
      <c r="AC40">
        <f t="shared" si="43"/>
        <v>3.5</v>
      </c>
      <c r="AD40">
        <f>ROUND(((ET40*1.25)),6)</f>
        <v>20.475</v>
      </c>
      <c r="AE40">
        <f>ROUND(((EU40*1.25)),6)</f>
        <v>4.8375</v>
      </c>
      <c r="AF40">
        <f>ROUND(((EV40*1.15)),6)</f>
        <v>308.5105</v>
      </c>
      <c r="AG40">
        <f t="shared" si="23"/>
        <v>0</v>
      </c>
      <c r="AH40">
        <f>((EW40*1.15))</f>
        <v>25.645</v>
      </c>
      <c r="AI40">
        <f>((EX40*1.25))</f>
        <v>0</v>
      </c>
      <c r="AJ40">
        <f t="shared" si="24"/>
        <v>0</v>
      </c>
      <c r="AK40">
        <v>288.15</v>
      </c>
      <c r="AL40">
        <v>3.5</v>
      </c>
      <c r="AM40">
        <v>16.38</v>
      </c>
      <c r="AN40">
        <v>3.87</v>
      </c>
      <c r="AO40">
        <v>268.27</v>
      </c>
      <c r="AP40">
        <v>0</v>
      </c>
      <c r="AQ40">
        <v>22.3</v>
      </c>
      <c r="AR40">
        <v>0</v>
      </c>
      <c r="AS40">
        <v>0</v>
      </c>
      <c r="AT40">
        <v>85</v>
      </c>
      <c r="AU40">
        <v>44</v>
      </c>
      <c r="AV40">
        <v>1</v>
      </c>
      <c r="AW40">
        <v>1</v>
      </c>
      <c r="AZ40">
        <v>1</v>
      </c>
      <c r="BA40">
        <v>17.04</v>
      </c>
      <c r="BB40">
        <v>8.95</v>
      </c>
      <c r="BC40">
        <v>4.88</v>
      </c>
      <c r="BH40">
        <v>0</v>
      </c>
      <c r="BI40">
        <v>1</v>
      </c>
      <c r="BJ40" t="s">
        <v>101</v>
      </c>
      <c r="BM40">
        <v>115</v>
      </c>
      <c r="BN40">
        <v>0</v>
      </c>
      <c r="BO40" t="s">
        <v>99</v>
      </c>
      <c r="BP40">
        <v>1</v>
      </c>
      <c r="BQ40">
        <v>30</v>
      </c>
      <c r="BR40">
        <v>0</v>
      </c>
      <c r="BS40">
        <v>17.04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85</v>
      </c>
      <c r="CA40">
        <v>44</v>
      </c>
      <c r="CF40">
        <v>0</v>
      </c>
      <c r="CG40">
        <v>0</v>
      </c>
      <c r="CM40">
        <v>0</v>
      </c>
      <c r="CO40">
        <v>0</v>
      </c>
      <c r="CP40">
        <f t="shared" si="25"/>
        <v>19209.87</v>
      </c>
      <c r="CQ40">
        <f t="shared" si="26"/>
        <v>17.08</v>
      </c>
      <c r="CR40">
        <f t="shared" si="27"/>
        <v>183.25125</v>
      </c>
      <c r="CS40">
        <f t="shared" si="28"/>
        <v>82.431</v>
      </c>
      <c r="CT40">
        <f t="shared" si="29"/>
        <v>5257.0189199999995</v>
      </c>
      <c r="CU40">
        <f t="shared" si="30"/>
        <v>0</v>
      </c>
      <c r="CV40">
        <f t="shared" si="31"/>
        <v>25.645</v>
      </c>
      <c r="CW40">
        <f t="shared" si="32"/>
        <v>0</v>
      </c>
      <c r="CX40">
        <f t="shared" si="33"/>
        <v>0</v>
      </c>
      <c r="CY40">
        <f t="shared" si="34"/>
        <v>15729.003499999999</v>
      </c>
      <c r="CZ40">
        <f t="shared" si="35"/>
        <v>8142.0724</v>
      </c>
      <c r="DE40" t="s">
        <v>51</v>
      </c>
      <c r="DF40" t="s">
        <v>51</v>
      </c>
      <c r="DG40" t="s">
        <v>52</v>
      </c>
      <c r="DI40" t="s">
        <v>52</v>
      </c>
      <c r="DJ40" t="s">
        <v>51</v>
      </c>
      <c r="DN40">
        <v>100</v>
      </c>
      <c r="DO40">
        <v>64</v>
      </c>
      <c r="DP40">
        <v>1.025</v>
      </c>
      <c r="DQ40">
        <v>1</v>
      </c>
      <c r="DU40">
        <v>1005</v>
      </c>
      <c r="DV40" t="s">
        <v>16</v>
      </c>
      <c r="DW40" t="s">
        <v>16</v>
      </c>
      <c r="DX40">
        <v>100</v>
      </c>
      <c r="EE40">
        <v>28557248</v>
      </c>
      <c r="EF40">
        <v>30</v>
      </c>
      <c r="EG40" t="s">
        <v>53</v>
      </c>
      <c r="EH40">
        <v>0</v>
      </c>
      <c r="EJ40">
        <v>1</v>
      </c>
      <c r="EK40">
        <v>115</v>
      </c>
      <c r="EL40" t="s">
        <v>88</v>
      </c>
      <c r="EM40" t="s">
        <v>89</v>
      </c>
      <c r="EQ40">
        <v>0</v>
      </c>
      <c r="ER40">
        <v>288.15</v>
      </c>
      <c r="ES40">
        <v>3.5</v>
      </c>
      <c r="ET40">
        <v>16.38</v>
      </c>
      <c r="EU40">
        <v>3.87</v>
      </c>
      <c r="EV40">
        <v>268.27</v>
      </c>
      <c r="EW40">
        <v>22.3</v>
      </c>
      <c r="EX40">
        <v>0</v>
      </c>
      <c r="EY40">
        <v>0</v>
      </c>
      <c r="FQ40">
        <v>0</v>
      </c>
      <c r="FR40">
        <f t="shared" si="36"/>
        <v>0</v>
      </c>
      <c r="FS40">
        <v>0</v>
      </c>
      <c r="FX40">
        <v>0</v>
      </c>
      <c r="FY40">
        <v>0</v>
      </c>
      <c r="GD40">
        <v>0</v>
      </c>
      <c r="GF40">
        <v>515143138</v>
      </c>
      <c r="GG40">
        <v>2</v>
      </c>
      <c r="GH40">
        <v>1</v>
      </c>
      <c r="GI40">
        <v>3</v>
      </c>
      <c r="GJ40">
        <v>0</v>
      </c>
      <c r="GK40">
        <f>ROUND(R40*(R12)/100,2)</f>
        <v>484.57</v>
      </c>
      <c r="GL40">
        <f t="shared" si="37"/>
        <v>0</v>
      </c>
      <c r="GM40">
        <f t="shared" si="38"/>
        <v>43565.509999999995</v>
      </c>
      <c r="GN40">
        <f t="shared" si="39"/>
        <v>43565.51</v>
      </c>
      <c r="GO40">
        <f t="shared" si="40"/>
        <v>0</v>
      </c>
      <c r="GP40">
        <f t="shared" si="41"/>
        <v>0</v>
      </c>
      <c r="GR40">
        <v>0</v>
      </c>
    </row>
    <row r="41" spans="1:200" ht="12.75">
      <c r="A41">
        <v>18</v>
      </c>
      <c r="B41">
        <v>1</v>
      </c>
      <c r="C41">
        <v>38</v>
      </c>
      <c r="E41" t="s">
        <v>102</v>
      </c>
      <c r="F41" t="s">
        <v>103</v>
      </c>
      <c r="G41" t="s">
        <v>104</v>
      </c>
      <c r="H41" t="s">
        <v>23</v>
      </c>
      <c r="I41">
        <f>I40*J41</f>
        <v>1.2672</v>
      </c>
      <c r="J41">
        <v>0.36000000000000004</v>
      </c>
      <c r="O41">
        <f t="shared" si="10"/>
        <v>35168.68</v>
      </c>
      <c r="P41">
        <f t="shared" si="11"/>
        <v>35168.68</v>
      </c>
      <c r="Q41">
        <f t="shared" si="12"/>
        <v>0</v>
      </c>
      <c r="R41">
        <f t="shared" si="13"/>
        <v>0</v>
      </c>
      <c r="S41">
        <f t="shared" si="14"/>
        <v>0</v>
      </c>
      <c r="T41">
        <f t="shared" si="15"/>
        <v>0</v>
      </c>
      <c r="U41">
        <f t="shared" si="16"/>
        <v>0</v>
      </c>
      <c r="V41">
        <f t="shared" si="17"/>
        <v>0</v>
      </c>
      <c r="W41">
        <f t="shared" si="18"/>
        <v>0</v>
      </c>
      <c r="X41">
        <f t="shared" si="19"/>
        <v>0</v>
      </c>
      <c r="Y41">
        <f t="shared" si="20"/>
        <v>0</v>
      </c>
      <c r="AA41">
        <v>30840905</v>
      </c>
      <c r="AB41">
        <f t="shared" si="21"/>
        <v>4350.01</v>
      </c>
      <c r="AC41">
        <f t="shared" si="43"/>
        <v>4350.01</v>
      </c>
      <c r="AD41">
        <f>ROUND((ET41),6)</f>
        <v>0</v>
      </c>
      <c r="AE41">
        <f>ROUND((EU41),6)</f>
        <v>0</v>
      </c>
      <c r="AF41">
        <f>ROUND((EV41),6)</f>
        <v>0</v>
      </c>
      <c r="AG41">
        <f t="shared" si="23"/>
        <v>0</v>
      </c>
      <c r="AH41">
        <f>(EW41)</f>
        <v>0</v>
      </c>
      <c r="AI41">
        <f>(EX41)</f>
        <v>0</v>
      </c>
      <c r="AJ41">
        <f t="shared" si="24"/>
        <v>0</v>
      </c>
      <c r="AK41">
        <v>4350.01</v>
      </c>
      <c r="AL41">
        <v>4350.01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6.38</v>
      </c>
      <c r="BH41">
        <v>3</v>
      </c>
      <c r="BI41">
        <v>1</v>
      </c>
      <c r="BJ41" t="s">
        <v>105</v>
      </c>
      <c r="BM41">
        <v>115</v>
      </c>
      <c r="BN41">
        <v>0</v>
      </c>
      <c r="BO41" t="s">
        <v>103</v>
      </c>
      <c r="BP41">
        <v>1</v>
      </c>
      <c r="BQ41">
        <v>30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100</v>
      </c>
      <c r="CA41">
        <v>64</v>
      </c>
      <c r="CF41">
        <v>0</v>
      </c>
      <c r="CG41">
        <v>0</v>
      </c>
      <c r="CM41">
        <v>0</v>
      </c>
      <c r="CO41">
        <v>0</v>
      </c>
      <c r="CP41">
        <f t="shared" si="25"/>
        <v>35168.68</v>
      </c>
      <c r="CQ41">
        <f t="shared" si="26"/>
        <v>27753.0638</v>
      </c>
      <c r="CR41">
        <f t="shared" si="27"/>
        <v>0</v>
      </c>
      <c r="CS41">
        <f t="shared" si="28"/>
        <v>0</v>
      </c>
      <c r="CT41">
        <f t="shared" si="29"/>
        <v>0</v>
      </c>
      <c r="CU41">
        <f t="shared" si="30"/>
        <v>0</v>
      </c>
      <c r="CV41">
        <f t="shared" si="31"/>
        <v>0</v>
      </c>
      <c r="CW41">
        <f t="shared" si="32"/>
        <v>0</v>
      </c>
      <c r="CX41">
        <f t="shared" si="33"/>
        <v>0</v>
      </c>
      <c r="CY41">
        <f t="shared" si="34"/>
        <v>0</v>
      </c>
      <c r="CZ41">
        <f t="shared" si="35"/>
        <v>0</v>
      </c>
      <c r="DN41">
        <v>100</v>
      </c>
      <c r="DO41">
        <v>64</v>
      </c>
      <c r="DP41">
        <v>1.025</v>
      </c>
      <c r="DQ41">
        <v>1</v>
      </c>
      <c r="DU41">
        <v>1009</v>
      </c>
      <c r="DV41" t="s">
        <v>23</v>
      </c>
      <c r="DW41" t="s">
        <v>23</v>
      </c>
      <c r="DX41">
        <v>1000</v>
      </c>
      <c r="EE41">
        <v>28557248</v>
      </c>
      <c r="EF41">
        <v>30</v>
      </c>
      <c r="EG41" t="s">
        <v>53</v>
      </c>
      <c r="EH41">
        <v>0</v>
      </c>
      <c r="EJ41">
        <v>1</v>
      </c>
      <c r="EK41">
        <v>115</v>
      </c>
      <c r="EL41" t="s">
        <v>88</v>
      </c>
      <c r="EM41" t="s">
        <v>89</v>
      </c>
      <c r="EQ41">
        <v>0</v>
      </c>
      <c r="ER41">
        <v>4350.01</v>
      </c>
      <c r="ES41">
        <v>4350.01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36"/>
        <v>0</v>
      </c>
      <c r="FS41">
        <v>0</v>
      </c>
      <c r="FX41">
        <v>100</v>
      </c>
      <c r="FY41">
        <v>64</v>
      </c>
      <c r="GD41">
        <v>0</v>
      </c>
      <c r="GF41">
        <v>1772601939</v>
      </c>
      <c r="GG41">
        <v>2</v>
      </c>
      <c r="GH41">
        <v>1</v>
      </c>
      <c r="GI41">
        <v>3</v>
      </c>
      <c r="GJ41">
        <v>0</v>
      </c>
      <c r="GK41">
        <f>ROUND(R41*(R12)/100,2)</f>
        <v>0</v>
      </c>
      <c r="GL41">
        <f t="shared" si="37"/>
        <v>0</v>
      </c>
      <c r="GM41">
        <f t="shared" si="38"/>
        <v>35168.68</v>
      </c>
      <c r="GN41">
        <f t="shared" si="39"/>
        <v>35168.68</v>
      </c>
      <c r="GO41">
        <f t="shared" si="40"/>
        <v>0</v>
      </c>
      <c r="GP41">
        <f t="shared" si="41"/>
        <v>0</v>
      </c>
      <c r="GR41">
        <v>0</v>
      </c>
    </row>
    <row r="42" spans="1:200" ht="12.75">
      <c r="A42">
        <v>17</v>
      </c>
      <c r="B42">
        <v>1</v>
      </c>
      <c r="C42">
        <f>ROW(SmtRes!A47)</f>
        <v>47</v>
      </c>
      <c r="D42">
        <f>ROW(EtalonRes!A46)</f>
        <v>46</v>
      </c>
      <c r="E42" t="s">
        <v>106</v>
      </c>
      <c r="F42" t="s">
        <v>107</v>
      </c>
      <c r="G42" t="s">
        <v>108</v>
      </c>
      <c r="H42" t="s">
        <v>16</v>
      </c>
      <c r="I42">
        <f>ROUND(352/100,9)</f>
        <v>3.52</v>
      </c>
      <c r="J42">
        <v>0</v>
      </c>
      <c r="O42">
        <f t="shared" si="10"/>
        <v>23889.26</v>
      </c>
      <c r="P42">
        <f t="shared" si="11"/>
        <v>11535.91</v>
      </c>
      <c r="Q42">
        <f t="shared" si="12"/>
        <v>334.64</v>
      </c>
      <c r="R42">
        <f t="shared" si="13"/>
        <v>155.95</v>
      </c>
      <c r="S42">
        <f t="shared" si="14"/>
        <v>12018.71</v>
      </c>
      <c r="T42">
        <f t="shared" si="15"/>
        <v>0</v>
      </c>
      <c r="U42">
        <f t="shared" si="16"/>
        <v>53.43359999999999</v>
      </c>
      <c r="V42">
        <f t="shared" si="17"/>
        <v>0</v>
      </c>
      <c r="W42">
        <f t="shared" si="18"/>
        <v>0</v>
      </c>
      <c r="X42">
        <f t="shared" si="19"/>
        <v>10215.9</v>
      </c>
      <c r="Y42">
        <f t="shared" si="20"/>
        <v>5288.23</v>
      </c>
      <c r="AA42">
        <v>30840905</v>
      </c>
      <c r="AB42">
        <f t="shared" si="21"/>
        <v>637.121</v>
      </c>
      <c r="AC42">
        <f t="shared" si="43"/>
        <v>426.17</v>
      </c>
      <c r="AD42">
        <f>ROUND(((ET42*1.25)),6)</f>
        <v>10.575</v>
      </c>
      <c r="AE42">
        <f>ROUND(((EU42*1.25)),6)</f>
        <v>2.6</v>
      </c>
      <c r="AF42">
        <f>ROUND(((EV42*1.15)),6)</f>
        <v>200.376</v>
      </c>
      <c r="AG42">
        <f t="shared" si="23"/>
        <v>0</v>
      </c>
      <c r="AH42">
        <f>((EW42*1.15))</f>
        <v>15.179999999999998</v>
      </c>
      <c r="AI42">
        <f>((EX42*1.25))</f>
        <v>0</v>
      </c>
      <c r="AJ42">
        <f t="shared" si="24"/>
        <v>0</v>
      </c>
      <c r="AK42">
        <v>608.87</v>
      </c>
      <c r="AL42">
        <v>426.17</v>
      </c>
      <c r="AM42">
        <v>8.46</v>
      </c>
      <c r="AN42">
        <v>2.08</v>
      </c>
      <c r="AO42">
        <v>174.24</v>
      </c>
      <c r="AP42">
        <v>0</v>
      </c>
      <c r="AQ42">
        <v>13.2</v>
      </c>
      <c r="AR42">
        <v>0</v>
      </c>
      <c r="AS42">
        <v>0</v>
      </c>
      <c r="AT42">
        <v>85</v>
      </c>
      <c r="AU42">
        <v>44</v>
      </c>
      <c r="AV42">
        <v>1</v>
      </c>
      <c r="AW42">
        <v>1</v>
      </c>
      <c r="AZ42">
        <v>1</v>
      </c>
      <c r="BA42">
        <v>17.04</v>
      </c>
      <c r="BB42">
        <v>8.99</v>
      </c>
      <c r="BC42">
        <v>7.69</v>
      </c>
      <c r="BH42">
        <v>0</v>
      </c>
      <c r="BI42">
        <v>1</v>
      </c>
      <c r="BJ42" t="s">
        <v>109</v>
      </c>
      <c r="BM42">
        <v>116</v>
      </c>
      <c r="BN42">
        <v>0</v>
      </c>
      <c r="BO42" t="s">
        <v>107</v>
      </c>
      <c r="BP42">
        <v>1</v>
      </c>
      <c r="BQ42">
        <v>30</v>
      </c>
      <c r="BR42">
        <v>0</v>
      </c>
      <c r="BS42">
        <v>17.04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85</v>
      </c>
      <c r="CA42">
        <v>44</v>
      </c>
      <c r="CF42">
        <v>0</v>
      </c>
      <c r="CG42">
        <v>0</v>
      </c>
      <c r="CM42">
        <v>0</v>
      </c>
      <c r="CO42">
        <v>0</v>
      </c>
      <c r="CP42">
        <f t="shared" si="25"/>
        <v>23889.26</v>
      </c>
      <c r="CQ42">
        <f t="shared" si="26"/>
        <v>3277.2473000000005</v>
      </c>
      <c r="CR42">
        <f t="shared" si="27"/>
        <v>95.06925</v>
      </c>
      <c r="CS42">
        <f t="shared" si="28"/>
        <v>44.304</v>
      </c>
      <c r="CT42">
        <f t="shared" si="29"/>
        <v>3414.40704</v>
      </c>
      <c r="CU42">
        <f t="shared" si="30"/>
        <v>0</v>
      </c>
      <c r="CV42">
        <f t="shared" si="31"/>
        <v>15.179999999999998</v>
      </c>
      <c r="CW42">
        <f t="shared" si="32"/>
        <v>0</v>
      </c>
      <c r="CX42">
        <f t="shared" si="33"/>
        <v>0</v>
      </c>
      <c r="CY42">
        <f t="shared" si="34"/>
        <v>10215.903499999999</v>
      </c>
      <c r="CZ42">
        <f t="shared" si="35"/>
        <v>5288.2324</v>
      </c>
      <c r="DE42" t="s">
        <v>51</v>
      </c>
      <c r="DF42" t="s">
        <v>51</v>
      </c>
      <c r="DG42" t="s">
        <v>52</v>
      </c>
      <c r="DI42" t="s">
        <v>52</v>
      </c>
      <c r="DJ42" t="s">
        <v>51</v>
      </c>
      <c r="DN42">
        <v>100</v>
      </c>
      <c r="DO42">
        <v>64</v>
      </c>
      <c r="DP42">
        <v>1.047</v>
      </c>
      <c r="DQ42">
        <v>1.003</v>
      </c>
      <c r="DU42">
        <v>1005</v>
      </c>
      <c r="DV42" t="s">
        <v>16</v>
      </c>
      <c r="DW42" t="s">
        <v>16</v>
      </c>
      <c r="DX42">
        <v>100</v>
      </c>
      <c r="EE42">
        <v>28557249</v>
      </c>
      <c r="EF42">
        <v>30</v>
      </c>
      <c r="EG42" t="s">
        <v>53</v>
      </c>
      <c r="EH42">
        <v>0</v>
      </c>
      <c r="EJ42">
        <v>1</v>
      </c>
      <c r="EK42">
        <v>116</v>
      </c>
      <c r="EL42" t="s">
        <v>110</v>
      </c>
      <c r="EM42" t="s">
        <v>111</v>
      </c>
      <c r="EQ42">
        <v>0</v>
      </c>
      <c r="ER42">
        <v>608.87</v>
      </c>
      <c r="ES42">
        <v>426.17</v>
      </c>
      <c r="ET42">
        <v>8.46</v>
      </c>
      <c r="EU42">
        <v>2.08</v>
      </c>
      <c r="EV42">
        <v>174.24</v>
      </c>
      <c r="EW42">
        <v>13.2</v>
      </c>
      <c r="EX42">
        <v>0</v>
      </c>
      <c r="EY42">
        <v>0</v>
      </c>
      <c r="FQ42">
        <v>0</v>
      </c>
      <c r="FR42">
        <f t="shared" si="36"/>
        <v>0</v>
      </c>
      <c r="FS42">
        <v>0</v>
      </c>
      <c r="FX42">
        <v>0</v>
      </c>
      <c r="FY42">
        <v>0</v>
      </c>
      <c r="GD42">
        <v>0</v>
      </c>
      <c r="GF42">
        <v>913140469</v>
      </c>
      <c r="GG42">
        <v>2</v>
      </c>
      <c r="GH42">
        <v>1</v>
      </c>
      <c r="GI42">
        <v>3</v>
      </c>
      <c r="GJ42">
        <v>0</v>
      </c>
      <c r="GK42">
        <f>ROUND(R42*(R12)/100,2)</f>
        <v>260.44</v>
      </c>
      <c r="GL42">
        <f t="shared" si="37"/>
        <v>0</v>
      </c>
      <c r="GM42">
        <f t="shared" si="38"/>
        <v>39653.83</v>
      </c>
      <c r="GN42">
        <f t="shared" si="39"/>
        <v>39653.83</v>
      </c>
      <c r="GO42">
        <f t="shared" si="40"/>
        <v>0</v>
      </c>
      <c r="GP42">
        <f t="shared" si="41"/>
        <v>0</v>
      </c>
      <c r="GR42">
        <v>0</v>
      </c>
    </row>
    <row r="43" spans="1:200" ht="12.75">
      <c r="A43">
        <v>18</v>
      </c>
      <c r="B43">
        <v>1</v>
      </c>
      <c r="C43">
        <v>45</v>
      </c>
      <c r="E43" t="s">
        <v>112</v>
      </c>
      <c r="F43" t="s">
        <v>113</v>
      </c>
      <c r="G43" t="s">
        <v>114</v>
      </c>
      <c r="H43" t="s">
        <v>23</v>
      </c>
      <c r="I43">
        <f>I42*J43</f>
        <v>0.20768</v>
      </c>
      <c r="J43">
        <v>0.059000000000000004</v>
      </c>
      <c r="O43">
        <f t="shared" si="10"/>
        <v>17595.89</v>
      </c>
      <c r="P43">
        <f t="shared" si="11"/>
        <v>17595.89</v>
      </c>
      <c r="Q43">
        <f t="shared" si="12"/>
        <v>0</v>
      </c>
      <c r="R43">
        <f t="shared" si="13"/>
        <v>0</v>
      </c>
      <c r="S43">
        <f t="shared" si="14"/>
        <v>0</v>
      </c>
      <c r="T43">
        <f t="shared" si="15"/>
        <v>0</v>
      </c>
      <c r="U43">
        <f t="shared" si="16"/>
        <v>0</v>
      </c>
      <c r="V43">
        <f t="shared" si="17"/>
        <v>0</v>
      </c>
      <c r="W43">
        <f t="shared" si="18"/>
        <v>0</v>
      </c>
      <c r="X43">
        <f t="shared" si="19"/>
        <v>0</v>
      </c>
      <c r="Y43">
        <f t="shared" si="20"/>
        <v>0</v>
      </c>
      <c r="AA43">
        <v>30840905</v>
      </c>
      <c r="AB43">
        <f t="shared" si="21"/>
        <v>16138.28</v>
      </c>
      <c r="AC43">
        <f t="shared" si="43"/>
        <v>16138.28</v>
      </c>
      <c r="AD43">
        <f>ROUND((ET43),6)</f>
        <v>0</v>
      </c>
      <c r="AE43">
        <f>ROUND((EU43),6)</f>
        <v>0</v>
      </c>
      <c r="AF43">
        <f>ROUND((EV43),6)</f>
        <v>0</v>
      </c>
      <c r="AG43">
        <f t="shared" si="23"/>
        <v>0</v>
      </c>
      <c r="AH43">
        <f>(EW43)</f>
        <v>0</v>
      </c>
      <c r="AI43">
        <f>(EX43)</f>
        <v>0</v>
      </c>
      <c r="AJ43">
        <f t="shared" si="24"/>
        <v>0</v>
      </c>
      <c r="AK43">
        <v>16138.28</v>
      </c>
      <c r="AL43">
        <v>16138.28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5.25</v>
      </c>
      <c r="BH43">
        <v>3</v>
      </c>
      <c r="BI43">
        <v>1</v>
      </c>
      <c r="BJ43" t="s">
        <v>115</v>
      </c>
      <c r="BM43">
        <v>116</v>
      </c>
      <c r="BN43">
        <v>0</v>
      </c>
      <c r="BO43" t="s">
        <v>113</v>
      </c>
      <c r="BP43">
        <v>1</v>
      </c>
      <c r="BQ43">
        <v>30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100</v>
      </c>
      <c r="CA43">
        <v>64</v>
      </c>
      <c r="CF43">
        <v>0</v>
      </c>
      <c r="CG43">
        <v>0</v>
      </c>
      <c r="CM43">
        <v>0</v>
      </c>
      <c r="CO43">
        <v>0</v>
      </c>
      <c r="CP43">
        <f t="shared" si="25"/>
        <v>17595.89</v>
      </c>
      <c r="CQ43">
        <f t="shared" si="26"/>
        <v>84725.97</v>
      </c>
      <c r="CR43">
        <f t="shared" si="27"/>
        <v>0</v>
      </c>
      <c r="CS43">
        <f t="shared" si="28"/>
        <v>0</v>
      </c>
      <c r="CT43">
        <f t="shared" si="29"/>
        <v>0</v>
      </c>
      <c r="CU43">
        <f t="shared" si="30"/>
        <v>0</v>
      </c>
      <c r="CV43">
        <f t="shared" si="31"/>
        <v>0</v>
      </c>
      <c r="CW43">
        <f t="shared" si="32"/>
        <v>0</v>
      </c>
      <c r="CX43">
        <f t="shared" si="33"/>
        <v>0</v>
      </c>
      <c r="CY43">
        <f t="shared" si="34"/>
        <v>0</v>
      </c>
      <c r="CZ43">
        <f t="shared" si="35"/>
        <v>0</v>
      </c>
      <c r="DN43">
        <v>100</v>
      </c>
      <c r="DO43">
        <v>64</v>
      </c>
      <c r="DP43">
        <v>1.047</v>
      </c>
      <c r="DQ43">
        <v>1.003</v>
      </c>
      <c r="DU43">
        <v>1009</v>
      </c>
      <c r="DV43" t="s">
        <v>23</v>
      </c>
      <c r="DW43" t="s">
        <v>23</v>
      </c>
      <c r="DX43">
        <v>1000</v>
      </c>
      <c r="EE43">
        <v>28557249</v>
      </c>
      <c r="EF43">
        <v>30</v>
      </c>
      <c r="EG43" t="s">
        <v>53</v>
      </c>
      <c r="EH43">
        <v>0</v>
      </c>
      <c r="EJ43">
        <v>1</v>
      </c>
      <c r="EK43">
        <v>116</v>
      </c>
      <c r="EL43" t="s">
        <v>110</v>
      </c>
      <c r="EM43" t="s">
        <v>111</v>
      </c>
      <c r="EQ43">
        <v>0</v>
      </c>
      <c r="ER43">
        <v>16138.28</v>
      </c>
      <c r="ES43">
        <v>16138.28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36"/>
        <v>0</v>
      </c>
      <c r="FS43">
        <v>0</v>
      </c>
      <c r="FX43">
        <v>100</v>
      </c>
      <c r="FY43">
        <v>64</v>
      </c>
      <c r="GD43">
        <v>0</v>
      </c>
      <c r="GF43">
        <v>-1103049749</v>
      </c>
      <c r="GG43">
        <v>2</v>
      </c>
      <c r="GH43">
        <v>1</v>
      </c>
      <c r="GI43">
        <v>3</v>
      </c>
      <c r="GJ43">
        <v>0</v>
      </c>
      <c r="GK43">
        <f>ROUND(R43*(R12)/100,2)</f>
        <v>0</v>
      </c>
      <c r="GL43">
        <f t="shared" si="37"/>
        <v>0</v>
      </c>
      <c r="GM43">
        <f t="shared" si="38"/>
        <v>17595.89</v>
      </c>
      <c r="GN43">
        <f t="shared" si="39"/>
        <v>17595.89</v>
      </c>
      <c r="GO43">
        <f t="shared" si="40"/>
        <v>0</v>
      </c>
      <c r="GP43">
        <f t="shared" si="41"/>
        <v>0</v>
      </c>
      <c r="GR43">
        <v>0</v>
      </c>
    </row>
    <row r="45" spans="1:118" ht="12.75">
      <c r="A45" s="2">
        <v>51</v>
      </c>
      <c r="B45" s="2">
        <f>B20</f>
        <v>1</v>
      </c>
      <c r="C45" s="2">
        <f>A20</f>
        <v>3</v>
      </c>
      <c r="D45" s="2">
        <f>ROW(A20)</f>
        <v>20</v>
      </c>
      <c r="E45" s="2"/>
      <c r="F45" s="2" t="str">
        <f>IF(F20&lt;&gt;"",F20,"")</f>
        <v>Новая локальная смета</v>
      </c>
      <c r="G45" s="2" t="str">
        <f>IF(G20&lt;&gt;"",G20,"")</f>
        <v>Новая локальная смета</v>
      </c>
      <c r="H45" s="2"/>
      <c r="I45" s="2"/>
      <c r="J45" s="2"/>
      <c r="K45" s="2"/>
      <c r="L45" s="2"/>
      <c r="M45" s="2"/>
      <c r="N45" s="2"/>
      <c r="O45" s="2">
        <f aca="true" t="shared" si="46" ref="O45:T45">ROUND(AB45,2)</f>
        <v>484965.61</v>
      </c>
      <c r="P45" s="2">
        <f t="shared" si="46"/>
        <v>284978.43</v>
      </c>
      <c r="Q45" s="2">
        <f t="shared" si="46"/>
        <v>23907.26</v>
      </c>
      <c r="R45" s="2">
        <f t="shared" si="46"/>
        <v>8378.74</v>
      </c>
      <c r="S45" s="2">
        <f t="shared" si="46"/>
        <v>176079.92</v>
      </c>
      <c r="T45" s="2">
        <f t="shared" si="46"/>
        <v>0</v>
      </c>
      <c r="U45" s="2">
        <f>AH45</f>
        <v>905.3946199999999</v>
      </c>
      <c r="V45" s="2">
        <f>AI45</f>
        <v>0</v>
      </c>
      <c r="W45" s="2">
        <f>ROUND(AJ45,2)</f>
        <v>0</v>
      </c>
      <c r="X45" s="2">
        <f>ROUND(AK45,2)</f>
        <v>144785.77</v>
      </c>
      <c r="Y45" s="2">
        <f>ROUND(AL45,2)</f>
        <v>77475.16</v>
      </c>
      <c r="Z45" s="2"/>
      <c r="AA45" s="2"/>
      <c r="AB45" s="2">
        <f>ROUND(SUMIF(AA24:AA43,"=30840905",O24:O43),2)</f>
        <v>484965.61</v>
      </c>
      <c r="AC45" s="2">
        <f>ROUND(SUMIF(AA24:AA43,"=30840905",P24:P43),2)</f>
        <v>284978.43</v>
      </c>
      <c r="AD45" s="2">
        <f>ROUND(SUMIF(AA24:AA43,"=30840905",Q24:Q43),2)</f>
        <v>23907.26</v>
      </c>
      <c r="AE45" s="2">
        <f>ROUND(SUMIF(AA24:AA43,"=30840905",R24:R43),2)</f>
        <v>8378.74</v>
      </c>
      <c r="AF45" s="2">
        <f>ROUND(SUMIF(AA24:AA43,"=30840905",S24:S43),2)</f>
        <v>176079.92</v>
      </c>
      <c r="AG45" s="2">
        <f>ROUND(SUMIF(AA24:AA43,"=30840905",T24:T43),2)</f>
        <v>0</v>
      </c>
      <c r="AH45" s="2">
        <f>SUMIF(AA24:AA43,"=30840905",U24:U43)</f>
        <v>905.3946199999999</v>
      </c>
      <c r="AI45" s="2">
        <f>SUMIF(AA24:AA43,"=30840905",V24:V43)</f>
        <v>0</v>
      </c>
      <c r="AJ45" s="2">
        <f>ROUND(SUMIF(AA24:AA43,"=30840905",W24:W43),2)</f>
        <v>0</v>
      </c>
      <c r="AK45" s="2">
        <f>ROUND(SUMIF(AA24:AA43,"=30840905",X24:X43),2)</f>
        <v>144785.77</v>
      </c>
      <c r="AL45" s="2">
        <f>ROUND(SUMIF(AA24:AA43,"=30840905",Y24:Y43),2)</f>
        <v>77475.16</v>
      </c>
      <c r="AM45" s="2"/>
      <c r="AN45" s="2"/>
      <c r="AO45" s="2">
        <f aca="true" t="shared" si="47" ref="AO45:AZ45">ROUND(BB45,2)</f>
        <v>0</v>
      </c>
      <c r="AP45" s="2">
        <f t="shared" si="47"/>
        <v>0</v>
      </c>
      <c r="AQ45" s="2">
        <f t="shared" si="47"/>
        <v>0</v>
      </c>
      <c r="AR45" s="2">
        <f t="shared" si="47"/>
        <v>721219.04</v>
      </c>
      <c r="AS45" s="2">
        <f t="shared" si="47"/>
        <v>713045.45</v>
      </c>
      <c r="AT45" s="2">
        <f t="shared" si="47"/>
        <v>0</v>
      </c>
      <c r="AU45" s="2">
        <f t="shared" si="47"/>
        <v>8173.59</v>
      </c>
      <c r="AV45" s="2">
        <f t="shared" si="47"/>
        <v>284978.43</v>
      </c>
      <c r="AW45" s="2">
        <f t="shared" si="47"/>
        <v>284978.43</v>
      </c>
      <c r="AX45" s="2">
        <f t="shared" si="47"/>
        <v>0</v>
      </c>
      <c r="AY45" s="2">
        <f t="shared" si="47"/>
        <v>284978.43</v>
      </c>
      <c r="AZ45" s="2">
        <f t="shared" si="47"/>
        <v>0</v>
      </c>
      <c r="BA45" s="2"/>
      <c r="BB45" s="2">
        <f>ROUND(SUMIF(AA24:AA43,"=30840905",FQ24:FQ43),2)</f>
        <v>0</v>
      </c>
      <c r="BC45" s="2">
        <f>ROUND(SUMIF(AA24:AA43,"=30840905",FR24:FR43),2)</f>
        <v>0</v>
      </c>
      <c r="BD45" s="2">
        <f>ROUND(SUMIF(AA24:AA43,"=30840905",GL24:GL43),2)</f>
        <v>0</v>
      </c>
      <c r="BE45" s="2">
        <f>ROUND(SUMIF(AA24:AA43,"=30840905",GM24:GM43),2)</f>
        <v>721219.04</v>
      </c>
      <c r="BF45" s="2">
        <f>ROUND(SUMIF(AA24:AA43,"=30840905",GN24:GN43),2)</f>
        <v>713045.45</v>
      </c>
      <c r="BG45" s="2">
        <f>ROUND(SUMIF(AA24:AA43,"=30840905",GO24:GO43),2)</f>
        <v>0</v>
      </c>
      <c r="BH45" s="2">
        <f>ROUND(SUMIF(AA24:AA43,"=30840905",GP24:GP43),2)</f>
        <v>8173.59</v>
      </c>
      <c r="BI45" s="2">
        <f>AC45-BB45</f>
        <v>284978.43</v>
      </c>
      <c r="BJ45" s="2">
        <f>AC45-BC45</f>
        <v>284978.43</v>
      </c>
      <c r="BK45" s="2">
        <f>BB45-BD45</f>
        <v>0</v>
      </c>
      <c r="BL45" s="2">
        <f>AC45-BB45-BC45+BD45</f>
        <v>284978.43</v>
      </c>
      <c r="BM45" s="2">
        <f>BC45-BD45</f>
        <v>0</v>
      </c>
      <c r="BN45" s="2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>
        <v>0</v>
      </c>
    </row>
    <row r="47" spans="1:16" ht="12.75">
      <c r="A47" s="4">
        <v>50</v>
      </c>
      <c r="B47" s="4">
        <v>0</v>
      </c>
      <c r="C47" s="4">
        <v>0</v>
      </c>
      <c r="D47" s="4">
        <v>1</v>
      </c>
      <c r="E47" s="4">
        <v>201</v>
      </c>
      <c r="F47" s="4">
        <f>ROUND(Source!O45,O47)</f>
        <v>484965.61</v>
      </c>
      <c r="G47" s="4" t="s">
        <v>116</v>
      </c>
      <c r="H47" s="4" t="s">
        <v>117</v>
      </c>
      <c r="I47" s="4"/>
      <c r="J47" s="4"/>
      <c r="K47" s="4">
        <v>201</v>
      </c>
      <c r="L47" s="4">
        <v>1</v>
      </c>
      <c r="M47" s="4">
        <v>3</v>
      </c>
      <c r="N47" s="4" t="s">
        <v>3</v>
      </c>
      <c r="O47" s="4">
        <v>2</v>
      </c>
      <c r="P47" s="4"/>
    </row>
    <row r="48" spans="1:16" ht="12.75">
      <c r="A48" s="4">
        <v>50</v>
      </c>
      <c r="B48" s="4">
        <v>0</v>
      </c>
      <c r="C48" s="4">
        <v>0</v>
      </c>
      <c r="D48" s="4">
        <v>1</v>
      </c>
      <c r="E48" s="4">
        <v>202</v>
      </c>
      <c r="F48" s="4">
        <f>ROUND(Source!P45,O48)</f>
        <v>284978.43</v>
      </c>
      <c r="G48" s="4" t="s">
        <v>118</v>
      </c>
      <c r="H48" s="4" t="s">
        <v>119</v>
      </c>
      <c r="I48" s="4"/>
      <c r="J48" s="4"/>
      <c r="K48" s="4">
        <v>202</v>
      </c>
      <c r="L48" s="4">
        <v>2</v>
      </c>
      <c r="M48" s="4">
        <v>3</v>
      </c>
      <c r="N48" s="4" t="s">
        <v>3</v>
      </c>
      <c r="O48" s="4">
        <v>2</v>
      </c>
      <c r="P48" s="4"/>
    </row>
    <row r="49" spans="1:16" ht="12.75">
      <c r="A49" s="4">
        <v>50</v>
      </c>
      <c r="B49" s="4">
        <v>0</v>
      </c>
      <c r="C49" s="4">
        <v>0</v>
      </c>
      <c r="D49" s="4">
        <v>1</v>
      </c>
      <c r="E49" s="4">
        <v>222</v>
      </c>
      <c r="F49" s="4">
        <f>ROUND(Source!AO45,O49)</f>
        <v>0</v>
      </c>
      <c r="G49" s="4" t="s">
        <v>120</v>
      </c>
      <c r="H49" s="4" t="s">
        <v>121</v>
      </c>
      <c r="I49" s="4"/>
      <c r="J49" s="4"/>
      <c r="K49" s="4">
        <v>222</v>
      </c>
      <c r="L49" s="4">
        <v>3</v>
      </c>
      <c r="M49" s="4">
        <v>3</v>
      </c>
      <c r="N49" s="4" t="s">
        <v>3</v>
      </c>
      <c r="O49" s="4">
        <v>2</v>
      </c>
      <c r="P49" s="4"/>
    </row>
    <row r="50" spans="1:16" ht="12.75">
      <c r="A50" s="4">
        <v>50</v>
      </c>
      <c r="B50" s="4">
        <v>0</v>
      </c>
      <c r="C50" s="4">
        <v>0</v>
      </c>
      <c r="D50" s="4">
        <v>1</v>
      </c>
      <c r="E50" s="4">
        <v>225</v>
      </c>
      <c r="F50" s="4">
        <f>ROUND(Source!AV45,O50)</f>
        <v>284978.43</v>
      </c>
      <c r="G50" s="4" t="s">
        <v>122</v>
      </c>
      <c r="H50" s="4" t="s">
        <v>123</v>
      </c>
      <c r="I50" s="4"/>
      <c r="J50" s="4"/>
      <c r="K50" s="4">
        <v>225</v>
      </c>
      <c r="L50" s="4">
        <v>4</v>
      </c>
      <c r="M50" s="4">
        <v>3</v>
      </c>
      <c r="N50" s="4" t="s">
        <v>3</v>
      </c>
      <c r="O50" s="4">
        <v>2</v>
      </c>
      <c r="P50" s="4"/>
    </row>
    <row r="51" spans="1:16" ht="12.75">
      <c r="A51" s="4">
        <v>50</v>
      </c>
      <c r="B51" s="4">
        <v>0</v>
      </c>
      <c r="C51" s="4">
        <v>0</v>
      </c>
      <c r="D51" s="4">
        <v>1</v>
      </c>
      <c r="E51" s="4">
        <v>226</v>
      </c>
      <c r="F51" s="4">
        <f>ROUND(Source!AW45,O51)</f>
        <v>284978.43</v>
      </c>
      <c r="G51" s="4" t="s">
        <v>124</v>
      </c>
      <c r="H51" s="4" t="s">
        <v>125</v>
      </c>
      <c r="I51" s="4"/>
      <c r="J51" s="4"/>
      <c r="K51" s="4">
        <v>226</v>
      </c>
      <c r="L51" s="4">
        <v>5</v>
      </c>
      <c r="M51" s="4">
        <v>3</v>
      </c>
      <c r="N51" s="4" t="s">
        <v>3</v>
      </c>
      <c r="O51" s="4">
        <v>2</v>
      </c>
      <c r="P51" s="4"/>
    </row>
    <row r="52" spans="1:16" ht="12.75">
      <c r="A52" s="4">
        <v>50</v>
      </c>
      <c r="B52" s="4">
        <v>0</v>
      </c>
      <c r="C52" s="4">
        <v>0</v>
      </c>
      <c r="D52" s="4">
        <v>1</v>
      </c>
      <c r="E52" s="4">
        <v>227</v>
      </c>
      <c r="F52" s="4">
        <f>ROUND(Source!AX45,O52)</f>
        <v>0</v>
      </c>
      <c r="G52" s="4" t="s">
        <v>126</v>
      </c>
      <c r="H52" s="4" t="s">
        <v>127</v>
      </c>
      <c r="I52" s="4"/>
      <c r="J52" s="4"/>
      <c r="K52" s="4">
        <v>227</v>
      </c>
      <c r="L52" s="4">
        <v>6</v>
      </c>
      <c r="M52" s="4">
        <v>3</v>
      </c>
      <c r="N52" s="4" t="s">
        <v>3</v>
      </c>
      <c r="O52" s="4">
        <v>2</v>
      </c>
      <c r="P52" s="4"/>
    </row>
    <row r="53" spans="1:16" ht="12.75">
      <c r="A53" s="4">
        <v>50</v>
      </c>
      <c r="B53" s="4">
        <v>0</v>
      </c>
      <c r="C53" s="4">
        <v>0</v>
      </c>
      <c r="D53" s="4">
        <v>1</v>
      </c>
      <c r="E53" s="4">
        <v>228</v>
      </c>
      <c r="F53" s="4">
        <f>ROUND(Source!AY45,O53)</f>
        <v>284978.43</v>
      </c>
      <c r="G53" s="4" t="s">
        <v>128</v>
      </c>
      <c r="H53" s="4" t="s">
        <v>129</v>
      </c>
      <c r="I53" s="4"/>
      <c r="J53" s="4"/>
      <c r="K53" s="4">
        <v>228</v>
      </c>
      <c r="L53" s="4">
        <v>7</v>
      </c>
      <c r="M53" s="4">
        <v>3</v>
      </c>
      <c r="N53" s="4" t="s">
        <v>3</v>
      </c>
      <c r="O53" s="4">
        <v>2</v>
      </c>
      <c r="P53" s="4"/>
    </row>
    <row r="54" spans="1:16" ht="12.75">
      <c r="A54" s="4">
        <v>50</v>
      </c>
      <c r="B54" s="4">
        <v>0</v>
      </c>
      <c r="C54" s="4">
        <v>0</v>
      </c>
      <c r="D54" s="4">
        <v>1</v>
      </c>
      <c r="E54" s="4">
        <v>216</v>
      </c>
      <c r="F54" s="4">
        <f>ROUND(Source!AP45,O54)</f>
        <v>0</v>
      </c>
      <c r="G54" s="4" t="s">
        <v>130</v>
      </c>
      <c r="H54" s="4" t="s">
        <v>131</v>
      </c>
      <c r="I54" s="4"/>
      <c r="J54" s="4"/>
      <c r="K54" s="4">
        <v>216</v>
      </c>
      <c r="L54" s="4">
        <v>8</v>
      </c>
      <c r="M54" s="4">
        <v>3</v>
      </c>
      <c r="N54" s="4" t="s">
        <v>3</v>
      </c>
      <c r="O54" s="4">
        <v>2</v>
      </c>
      <c r="P54" s="4"/>
    </row>
    <row r="55" spans="1:16" ht="12.75">
      <c r="A55" s="4">
        <v>50</v>
      </c>
      <c r="B55" s="4">
        <v>0</v>
      </c>
      <c r="C55" s="4">
        <v>0</v>
      </c>
      <c r="D55" s="4">
        <v>1</v>
      </c>
      <c r="E55" s="4">
        <v>223</v>
      </c>
      <c r="F55" s="4">
        <f>ROUND(Source!AQ45,O55)</f>
        <v>0</v>
      </c>
      <c r="G55" s="4" t="s">
        <v>132</v>
      </c>
      <c r="H55" s="4" t="s">
        <v>133</v>
      </c>
      <c r="I55" s="4"/>
      <c r="J55" s="4"/>
      <c r="K55" s="4">
        <v>223</v>
      </c>
      <c r="L55" s="4">
        <v>9</v>
      </c>
      <c r="M55" s="4">
        <v>3</v>
      </c>
      <c r="N55" s="4" t="s">
        <v>3</v>
      </c>
      <c r="O55" s="4">
        <v>2</v>
      </c>
      <c r="P55" s="4"/>
    </row>
    <row r="56" spans="1:16" ht="12.75">
      <c r="A56" s="4">
        <v>50</v>
      </c>
      <c r="B56" s="4">
        <v>0</v>
      </c>
      <c r="C56" s="4">
        <v>0</v>
      </c>
      <c r="D56" s="4">
        <v>1</v>
      </c>
      <c r="E56" s="4">
        <v>229</v>
      </c>
      <c r="F56" s="4">
        <f>ROUND(Source!AZ45,O56)</f>
        <v>0</v>
      </c>
      <c r="G56" s="4" t="s">
        <v>134</v>
      </c>
      <c r="H56" s="4" t="s">
        <v>135</v>
      </c>
      <c r="I56" s="4"/>
      <c r="J56" s="4"/>
      <c r="K56" s="4">
        <v>229</v>
      </c>
      <c r="L56" s="4">
        <v>10</v>
      </c>
      <c r="M56" s="4">
        <v>3</v>
      </c>
      <c r="N56" s="4" t="s">
        <v>3</v>
      </c>
      <c r="O56" s="4">
        <v>2</v>
      </c>
      <c r="P56" s="4"/>
    </row>
    <row r="57" spans="1:16" ht="12.75">
      <c r="A57" s="4">
        <v>50</v>
      </c>
      <c r="B57" s="4">
        <v>0</v>
      </c>
      <c r="C57" s="4">
        <v>0</v>
      </c>
      <c r="D57" s="4">
        <v>1</v>
      </c>
      <c r="E57" s="4">
        <v>203</v>
      </c>
      <c r="F57" s="4">
        <f>ROUND(Source!Q45,O57)</f>
        <v>23907.26</v>
      </c>
      <c r="G57" s="4" t="s">
        <v>136</v>
      </c>
      <c r="H57" s="4" t="s">
        <v>137</v>
      </c>
      <c r="I57" s="4"/>
      <c r="J57" s="4"/>
      <c r="K57" s="4">
        <v>203</v>
      </c>
      <c r="L57" s="4">
        <v>11</v>
      </c>
      <c r="M57" s="4">
        <v>3</v>
      </c>
      <c r="N57" s="4" t="s">
        <v>3</v>
      </c>
      <c r="O57" s="4">
        <v>2</v>
      </c>
      <c r="P57" s="4"/>
    </row>
    <row r="58" spans="1:16" ht="12.75">
      <c r="A58" s="4">
        <v>50</v>
      </c>
      <c r="B58" s="4">
        <v>0</v>
      </c>
      <c r="C58" s="4">
        <v>0</v>
      </c>
      <c r="D58" s="4">
        <v>1</v>
      </c>
      <c r="E58" s="4">
        <v>204</v>
      </c>
      <c r="F58" s="4">
        <f>ROUND(Source!R45,O58)</f>
        <v>8378.74</v>
      </c>
      <c r="G58" s="4" t="s">
        <v>138</v>
      </c>
      <c r="H58" s="4" t="s">
        <v>139</v>
      </c>
      <c r="I58" s="4"/>
      <c r="J58" s="4"/>
      <c r="K58" s="4">
        <v>204</v>
      </c>
      <c r="L58" s="4">
        <v>12</v>
      </c>
      <c r="M58" s="4">
        <v>3</v>
      </c>
      <c r="N58" s="4" t="s">
        <v>3</v>
      </c>
      <c r="O58" s="4">
        <v>2</v>
      </c>
      <c r="P58" s="4"/>
    </row>
    <row r="59" spans="1:16" ht="12.75">
      <c r="A59" s="4">
        <v>50</v>
      </c>
      <c r="B59" s="4">
        <v>0</v>
      </c>
      <c r="C59" s="4">
        <v>0</v>
      </c>
      <c r="D59" s="4">
        <v>1</v>
      </c>
      <c r="E59" s="4">
        <v>205</v>
      </c>
      <c r="F59" s="4">
        <f>ROUND(Source!S45,O59)</f>
        <v>176079.92</v>
      </c>
      <c r="G59" s="4" t="s">
        <v>140</v>
      </c>
      <c r="H59" s="4" t="s">
        <v>141</v>
      </c>
      <c r="I59" s="4"/>
      <c r="J59" s="4"/>
      <c r="K59" s="4">
        <v>205</v>
      </c>
      <c r="L59" s="4">
        <v>13</v>
      </c>
      <c r="M59" s="4">
        <v>3</v>
      </c>
      <c r="N59" s="4" t="s">
        <v>3</v>
      </c>
      <c r="O59" s="4">
        <v>2</v>
      </c>
      <c r="P59" s="4"/>
    </row>
    <row r="60" spans="1:16" ht="12.75">
      <c r="A60" s="4">
        <v>50</v>
      </c>
      <c r="B60" s="4">
        <v>0</v>
      </c>
      <c r="C60" s="4">
        <v>0</v>
      </c>
      <c r="D60" s="4">
        <v>1</v>
      </c>
      <c r="E60" s="4">
        <v>214</v>
      </c>
      <c r="F60" s="4">
        <f>ROUND(Source!AS45,O60)</f>
        <v>713045.45</v>
      </c>
      <c r="G60" s="4" t="s">
        <v>142</v>
      </c>
      <c r="H60" s="4" t="s">
        <v>143</v>
      </c>
      <c r="I60" s="4"/>
      <c r="J60" s="4"/>
      <c r="K60" s="4">
        <v>214</v>
      </c>
      <c r="L60" s="4">
        <v>14</v>
      </c>
      <c r="M60" s="4">
        <v>3</v>
      </c>
      <c r="N60" s="4" t="s">
        <v>3</v>
      </c>
      <c r="O60" s="4">
        <v>2</v>
      </c>
      <c r="P60" s="4"/>
    </row>
    <row r="61" spans="1:16" ht="12.75">
      <c r="A61" s="4">
        <v>50</v>
      </c>
      <c r="B61" s="4">
        <v>0</v>
      </c>
      <c r="C61" s="4">
        <v>0</v>
      </c>
      <c r="D61" s="4">
        <v>1</v>
      </c>
      <c r="E61" s="4">
        <v>215</v>
      </c>
      <c r="F61" s="4">
        <f>ROUND(Source!AT45,O61)</f>
        <v>0</v>
      </c>
      <c r="G61" s="4" t="s">
        <v>144</v>
      </c>
      <c r="H61" s="4" t="s">
        <v>145</v>
      </c>
      <c r="I61" s="4"/>
      <c r="J61" s="4"/>
      <c r="K61" s="4">
        <v>215</v>
      </c>
      <c r="L61" s="4">
        <v>15</v>
      </c>
      <c r="M61" s="4">
        <v>3</v>
      </c>
      <c r="N61" s="4" t="s">
        <v>3</v>
      </c>
      <c r="O61" s="4">
        <v>2</v>
      </c>
      <c r="P61" s="4"/>
    </row>
    <row r="62" spans="1:16" ht="12.75">
      <c r="A62" s="4">
        <v>50</v>
      </c>
      <c r="B62" s="4">
        <v>0</v>
      </c>
      <c r="C62" s="4">
        <v>0</v>
      </c>
      <c r="D62" s="4">
        <v>1</v>
      </c>
      <c r="E62" s="4">
        <v>217</v>
      </c>
      <c r="F62" s="4">
        <f>ROUND(Source!AU45,O62)</f>
        <v>8173.59</v>
      </c>
      <c r="G62" s="4" t="s">
        <v>146</v>
      </c>
      <c r="H62" s="4" t="s">
        <v>147</v>
      </c>
      <c r="I62" s="4"/>
      <c r="J62" s="4"/>
      <c r="K62" s="4">
        <v>217</v>
      </c>
      <c r="L62" s="4">
        <v>16</v>
      </c>
      <c r="M62" s="4">
        <v>3</v>
      </c>
      <c r="N62" s="4" t="s">
        <v>3</v>
      </c>
      <c r="O62" s="4">
        <v>2</v>
      </c>
      <c r="P62" s="4"/>
    </row>
    <row r="63" spans="1:16" ht="12.75">
      <c r="A63" s="4">
        <v>50</v>
      </c>
      <c r="B63" s="4">
        <v>0</v>
      </c>
      <c r="C63" s="4">
        <v>0</v>
      </c>
      <c r="D63" s="4">
        <v>1</v>
      </c>
      <c r="E63" s="4">
        <v>206</v>
      </c>
      <c r="F63" s="4">
        <f>ROUND(Source!T45,O63)</f>
        <v>0</v>
      </c>
      <c r="G63" s="4" t="s">
        <v>148</v>
      </c>
      <c r="H63" s="4" t="s">
        <v>149</v>
      </c>
      <c r="I63" s="4"/>
      <c r="J63" s="4"/>
      <c r="K63" s="4">
        <v>206</v>
      </c>
      <c r="L63" s="4">
        <v>17</v>
      </c>
      <c r="M63" s="4">
        <v>3</v>
      </c>
      <c r="N63" s="4" t="s">
        <v>3</v>
      </c>
      <c r="O63" s="4">
        <v>2</v>
      </c>
      <c r="P63" s="4"/>
    </row>
    <row r="64" spans="1:16" ht="12.75">
      <c r="A64" s="4">
        <v>50</v>
      </c>
      <c r="B64" s="4">
        <v>0</v>
      </c>
      <c r="C64" s="4">
        <v>0</v>
      </c>
      <c r="D64" s="4">
        <v>1</v>
      </c>
      <c r="E64" s="4">
        <v>207</v>
      </c>
      <c r="F64" s="4">
        <f>Source!U45</f>
        <v>905.3946199999999</v>
      </c>
      <c r="G64" s="4" t="s">
        <v>150</v>
      </c>
      <c r="H64" s="4" t="s">
        <v>151</v>
      </c>
      <c r="I64" s="4"/>
      <c r="J64" s="4"/>
      <c r="K64" s="4">
        <v>207</v>
      </c>
      <c r="L64" s="4">
        <v>18</v>
      </c>
      <c r="M64" s="4">
        <v>3</v>
      </c>
      <c r="N64" s="4" t="s">
        <v>3</v>
      </c>
      <c r="O64" s="4">
        <v>-1</v>
      </c>
      <c r="P64" s="4"/>
    </row>
    <row r="65" spans="1:16" ht="12.75">
      <c r="A65" s="4">
        <v>50</v>
      </c>
      <c r="B65" s="4">
        <v>0</v>
      </c>
      <c r="C65" s="4">
        <v>0</v>
      </c>
      <c r="D65" s="4">
        <v>1</v>
      </c>
      <c r="E65" s="4">
        <v>208</v>
      </c>
      <c r="F65" s="4">
        <f>Source!V45</f>
        <v>0</v>
      </c>
      <c r="G65" s="4" t="s">
        <v>152</v>
      </c>
      <c r="H65" s="4" t="s">
        <v>153</v>
      </c>
      <c r="I65" s="4"/>
      <c r="J65" s="4"/>
      <c r="K65" s="4">
        <v>208</v>
      </c>
      <c r="L65" s="4">
        <v>19</v>
      </c>
      <c r="M65" s="4">
        <v>3</v>
      </c>
      <c r="N65" s="4" t="s">
        <v>3</v>
      </c>
      <c r="O65" s="4">
        <v>-1</v>
      </c>
      <c r="P65" s="4"/>
    </row>
    <row r="66" spans="1:16" ht="12.75">
      <c r="A66" s="4">
        <v>50</v>
      </c>
      <c r="B66" s="4">
        <v>0</v>
      </c>
      <c r="C66" s="4">
        <v>0</v>
      </c>
      <c r="D66" s="4">
        <v>1</v>
      </c>
      <c r="E66" s="4">
        <v>209</v>
      </c>
      <c r="F66" s="4">
        <f>ROUND(Source!W45,O66)</f>
        <v>0</v>
      </c>
      <c r="G66" s="4" t="s">
        <v>154</v>
      </c>
      <c r="H66" s="4" t="s">
        <v>155</v>
      </c>
      <c r="I66" s="4"/>
      <c r="J66" s="4"/>
      <c r="K66" s="4">
        <v>209</v>
      </c>
      <c r="L66" s="4">
        <v>20</v>
      </c>
      <c r="M66" s="4">
        <v>3</v>
      </c>
      <c r="N66" s="4" t="s">
        <v>3</v>
      </c>
      <c r="O66" s="4">
        <v>2</v>
      </c>
      <c r="P66" s="4"/>
    </row>
    <row r="67" spans="1:16" ht="12.75">
      <c r="A67" s="4">
        <v>50</v>
      </c>
      <c r="B67" s="4">
        <v>0</v>
      </c>
      <c r="C67" s="4">
        <v>0</v>
      </c>
      <c r="D67" s="4">
        <v>1</v>
      </c>
      <c r="E67" s="4">
        <v>210</v>
      </c>
      <c r="F67" s="4">
        <f>ROUND(Source!X45,O67)</f>
        <v>144785.77</v>
      </c>
      <c r="G67" s="4" t="s">
        <v>156</v>
      </c>
      <c r="H67" s="4" t="s">
        <v>157</v>
      </c>
      <c r="I67" s="4"/>
      <c r="J67" s="4"/>
      <c r="K67" s="4">
        <v>210</v>
      </c>
      <c r="L67" s="4">
        <v>21</v>
      </c>
      <c r="M67" s="4">
        <v>3</v>
      </c>
      <c r="N67" s="4" t="s">
        <v>3</v>
      </c>
      <c r="O67" s="4">
        <v>2</v>
      </c>
      <c r="P67" s="4"/>
    </row>
    <row r="68" spans="1:16" ht="12.75">
      <c r="A68" s="4">
        <v>50</v>
      </c>
      <c r="B68" s="4">
        <v>0</v>
      </c>
      <c r="C68" s="4">
        <v>0</v>
      </c>
      <c r="D68" s="4">
        <v>1</v>
      </c>
      <c r="E68" s="4">
        <v>211</v>
      </c>
      <c r="F68" s="4">
        <f>ROUND(Source!Y45,O68)</f>
        <v>77475.16</v>
      </c>
      <c r="G68" s="4" t="s">
        <v>158</v>
      </c>
      <c r="H68" s="4" t="s">
        <v>159</v>
      </c>
      <c r="I68" s="4"/>
      <c r="J68" s="4"/>
      <c r="K68" s="4">
        <v>211</v>
      </c>
      <c r="L68" s="4">
        <v>22</v>
      </c>
      <c r="M68" s="4">
        <v>3</v>
      </c>
      <c r="N68" s="4" t="s">
        <v>3</v>
      </c>
      <c r="O68" s="4">
        <v>2</v>
      </c>
      <c r="P68" s="4"/>
    </row>
    <row r="69" spans="1:16" ht="12.75">
      <c r="A69" s="4">
        <v>50</v>
      </c>
      <c r="B69" s="4">
        <v>0</v>
      </c>
      <c r="C69" s="4">
        <v>0</v>
      </c>
      <c r="D69" s="4">
        <v>1</v>
      </c>
      <c r="E69" s="4">
        <v>224</v>
      </c>
      <c r="F69" s="4">
        <f>ROUND(Source!AR45,O69)</f>
        <v>721219.04</v>
      </c>
      <c r="G69" s="4" t="s">
        <v>160</v>
      </c>
      <c r="H69" s="4" t="s">
        <v>161</v>
      </c>
      <c r="I69" s="4"/>
      <c r="J69" s="4"/>
      <c r="K69" s="4">
        <v>224</v>
      </c>
      <c r="L69" s="4">
        <v>23</v>
      </c>
      <c r="M69" s="4">
        <v>3</v>
      </c>
      <c r="N69" s="4" t="s">
        <v>3</v>
      </c>
      <c r="O69" s="4">
        <v>2</v>
      </c>
      <c r="P69" s="4"/>
    </row>
    <row r="71" spans="1:118" ht="12.75">
      <c r="A71" s="2">
        <v>51</v>
      </c>
      <c r="B71" s="2">
        <f>B12</f>
        <v>103</v>
      </c>
      <c r="C71" s="2">
        <f>A12</f>
        <v>1</v>
      </c>
      <c r="D71" s="2">
        <f>ROW(A12)</f>
        <v>12</v>
      </c>
      <c r="E71" s="2"/>
      <c r="F71" s="2" t="str">
        <f>IF(F12&lt;&gt;"",F12,"")</f>
        <v>Новый объект</v>
      </c>
      <c r="G71" s="2" t="str">
        <f>IF(G12&lt;&gt;"",G12,"")</f>
        <v>Ремонт опорной стены у корп. 1106</v>
      </c>
      <c r="H71" s="2"/>
      <c r="I71" s="2"/>
      <c r="J71" s="2"/>
      <c r="K71" s="2"/>
      <c r="L71" s="2"/>
      <c r="M71" s="2"/>
      <c r="N71" s="2"/>
      <c r="O71" s="2">
        <f aca="true" t="shared" si="48" ref="O71:T71">ROUND(O45,2)</f>
        <v>484965.61</v>
      </c>
      <c r="P71" s="2">
        <f t="shared" si="48"/>
        <v>284978.43</v>
      </c>
      <c r="Q71" s="2">
        <f t="shared" si="48"/>
        <v>23907.26</v>
      </c>
      <c r="R71" s="2">
        <f t="shared" si="48"/>
        <v>8378.74</v>
      </c>
      <c r="S71" s="2">
        <f t="shared" si="48"/>
        <v>176079.92</v>
      </c>
      <c r="T71" s="2">
        <f t="shared" si="48"/>
        <v>0</v>
      </c>
      <c r="U71" s="2">
        <f>U45</f>
        <v>905.3946199999999</v>
      </c>
      <c r="V71" s="2">
        <f>V45</f>
        <v>0</v>
      </c>
      <c r="W71" s="2">
        <f>ROUND(W45,2)</f>
        <v>0</v>
      </c>
      <c r="X71" s="2">
        <f>ROUND(X45,2)</f>
        <v>144785.77</v>
      </c>
      <c r="Y71" s="2">
        <f>ROUND(Y45,2)</f>
        <v>77475.16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>
        <f aca="true" t="shared" si="49" ref="AO71:AZ71">ROUND(AO45,2)</f>
        <v>0</v>
      </c>
      <c r="AP71" s="2">
        <f t="shared" si="49"/>
        <v>0</v>
      </c>
      <c r="AQ71" s="2">
        <f t="shared" si="49"/>
        <v>0</v>
      </c>
      <c r="AR71" s="2">
        <f t="shared" si="49"/>
        <v>721219.04</v>
      </c>
      <c r="AS71" s="2">
        <f t="shared" si="49"/>
        <v>713045.45</v>
      </c>
      <c r="AT71" s="2">
        <f t="shared" si="49"/>
        <v>0</v>
      </c>
      <c r="AU71" s="2">
        <f t="shared" si="49"/>
        <v>8173.59</v>
      </c>
      <c r="AV71" s="2">
        <f t="shared" si="49"/>
        <v>284978.43</v>
      </c>
      <c r="AW71" s="2">
        <f t="shared" si="49"/>
        <v>284978.43</v>
      </c>
      <c r="AX71" s="2">
        <f t="shared" si="49"/>
        <v>0</v>
      </c>
      <c r="AY71" s="2">
        <f t="shared" si="49"/>
        <v>284978.43</v>
      </c>
      <c r="AZ71" s="2">
        <f t="shared" si="49"/>
        <v>0</v>
      </c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>
        <v>0</v>
      </c>
    </row>
    <row r="73" spans="1:16" ht="12.75">
      <c r="A73" s="4">
        <v>50</v>
      </c>
      <c r="B73" s="4">
        <v>0</v>
      </c>
      <c r="C73" s="4">
        <v>0</v>
      </c>
      <c r="D73" s="4">
        <v>1</v>
      </c>
      <c r="E73" s="4">
        <v>201</v>
      </c>
      <c r="F73" s="4">
        <f>ROUND(Source!O71,O73)</f>
        <v>484965.61</v>
      </c>
      <c r="G73" s="4" t="s">
        <v>116</v>
      </c>
      <c r="H73" s="4" t="s">
        <v>117</v>
      </c>
      <c r="I73" s="4"/>
      <c r="J73" s="4"/>
      <c r="K73" s="4">
        <v>201</v>
      </c>
      <c r="L73" s="4">
        <v>1</v>
      </c>
      <c r="M73" s="4">
        <v>3</v>
      </c>
      <c r="N73" s="4" t="s">
        <v>3</v>
      </c>
      <c r="O73" s="4">
        <v>2</v>
      </c>
      <c r="P73" s="4"/>
    </row>
    <row r="74" spans="1:16" ht="12.75">
      <c r="A74" s="4">
        <v>50</v>
      </c>
      <c r="B74" s="4">
        <v>0</v>
      </c>
      <c r="C74" s="4">
        <v>0</v>
      </c>
      <c r="D74" s="4">
        <v>1</v>
      </c>
      <c r="E74" s="4">
        <v>202</v>
      </c>
      <c r="F74" s="4">
        <f>ROUND(Source!P71,O74)</f>
        <v>284978.43</v>
      </c>
      <c r="G74" s="4" t="s">
        <v>118</v>
      </c>
      <c r="H74" s="4" t="s">
        <v>119</v>
      </c>
      <c r="I74" s="4"/>
      <c r="J74" s="4"/>
      <c r="K74" s="4">
        <v>202</v>
      </c>
      <c r="L74" s="4">
        <v>2</v>
      </c>
      <c r="M74" s="4">
        <v>3</v>
      </c>
      <c r="N74" s="4" t="s">
        <v>3</v>
      </c>
      <c r="O74" s="4">
        <v>2</v>
      </c>
      <c r="P74" s="4"/>
    </row>
    <row r="75" spans="1:16" ht="12.75">
      <c r="A75" s="4">
        <v>50</v>
      </c>
      <c r="B75" s="4">
        <v>0</v>
      </c>
      <c r="C75" s="4">
        <v>0</v>
      </c>
      <c r="D75" s="4">
        <v>1</v>
      </c>
      <c r="E75" s="4">
        <v>222</v>
      </c>
      <c r="F75" s="4">
        <f>ROUND(Source!AO71,O75)</f>
        <v>0</v>
      </c>
      <c r="G75" s="4" t="s">
        <v>120</v>
      </c>
      <c r="H75" s="4" t="s">
        <v>121</v>
      </c>
      <c r="I75" s="4"/>
      <c r="J75" s="4"/>
      <c r="K75" s="4">
        <v>222</v>
      </c>
      <c r="L75" s="4">
        <v>3</v>
      </c>
      <c r="M75" s="4">
        <v>3</v>
      </c>
      <c r="N75" s="4" t="s">
        <v>3</v>
      </c>
      <c r="O75" s="4">
        <v>2</v>
      </c>
      <c r="P75" s="4"/>
    </row>
    <row r="76" spans="1:16" ht="12.75">
      <c r="A76" s="4">
        <v>50</v>
      </c>
      <c r="B76" s="4">
        <v>0</v>
      </c>
      <c r="C76" s="4">
        <v>0</v>
      </c>
      <c r="D76" s="4">
        <v>1</v>
      </c>
      <c r="E76" s="4">
        <v>225</v>
      </c>
      <c r="F76" s="4">
        <f>ROUND(Source!AV71,O76)</f>
        <v>284978.43</v>
      </c>
      <c r="G76" s="4" t="s">
        <v>122</v>
      </c>
      <c r="H76" s="4" t="s">
        <v>123</v>
      </c>
      <c r="I76" s="4"/>
      <c r="J76" s="4"/>
      <c r="K76" s="4">
        <v>225</v>
      </c>
      <c r="L76" s="4">
        <v>4</v>
      </c>
      <c r="M76" s="4">
        <v>3</v>
      </c>
      <c r="N76" s="4" t="s">
        <v>3</v>
      </c>
      <c r="O76" s="4">
        <v>2</v>
      </c>
      <c r="P76" s="4"/>
    </row>
    <row r="77" spans="1:16" ht="12.75">
      <c r="A77" s="4">
        <v>50</v>
      </c>
      <c r="B77" s="4">
        <v>0</v>
      </c>
      <c r="C77" s="4">
        <v>0</v>
      </c>
      <c r="D77" s="4">
        <v>1</v>
      </c>
      <c r="E77" s="4">
        <v>226</v>
      </c>
      <c r="F77" s="4">
        <f>ROUND(Source!AW71,O77)</f>
        <v>284978.43</v>
      </c>
      <c r="G77" s="4" t="s">
        <v>124</v>
      </c>
      <c r="H77" s="4" t="s">
        <v>125</v>
      </c>
      <c r="I77" s="4"/>
      <c r="J77" s="4"/>
      <c r="K77" s="4">
        <v>226</v>
      </c>
      <c r="L77" s="4">
        <v>5</v>
      </c>
      <c r="M77" s="4">
        <v>3</v>
      </c>
      <c r="N77" s="4" t="s">
        <v>3</v>
      </c>
      <c r="O77" s="4">
        <v>2</v>
      </c>
      <c r="P77" s="4"/>
    </row>
    <row r="78" spans="1:16" ht="12.75">
      <c r="A78" s="4">
        <v>50</v>
      </c>
      <c r="B78" s="4">
        <v>0</v>
      </c>
      <c r="C78" s="4">
        <v>0</v>
      </c>
      <c r="D78" s="4">
        <v>1</v>
      </c>
      <c r="E78" s="4">
        <v>227</v>
      </c>
      <c r="F78" s="4">
        <f>ROUND(Source!AX71,O78)</f>
        <v>0</v>
      </c>
      <c r="G78" s="4" t="s">
        <v>126</v>
      </c>
      <c r="H78" s="4" t="s">
        <v>127</v>
      </c>
      <c r="I78" s="4"/>
      <c r="J78" s="4"/>
      <c r="K78" s="4">
        <v>227</v>
      </c>
      <c r="L78" s="4">
        <v>6</v>
      </c>
      <c r="M78" s="4">
        <v>3</v>
      </c>
      <c r="N78" s="4" t="s">
        <v>3</v>
      </c>
      <c r="O78" s="4">
        <v>2</v>
      </c>
      <c r="P78" s="4"/>
    </row>
    <row r="79" spans="1:16" ht="12.75">
      <c r="A79" s="4">
        <v>50</v>
      </c>
      <c r="B79" s="4">
        <v>0</v>
      </c>
      <c r="C79" s="4">
        <v>0</v>
      </c>
      <c r="D79" s="4">
        <v>1</v>
      </c>
      <c r="E79" s="4">
        <v>228</v>
      </c>
      <c r="F79" s="4">
        <f>ROUND(Source!AY71,O79)</f>
        <v>284978.43</v>
      </c>
      <c r="G79" s="4" t="s">
        <v>128</v>
      </c>
      <c r="H79" s="4" t="s">
        <v>129</v>
      </c>
      <c r="I79" s="4"/>
      <c r="J79" s="4"/>
      <c r="K79" s="4">
        <v>228</v>
      </c>
      <c r="L79" s="4">
        <v>7</v>
      </c>
      <c r="M79" s="4">
        <v>3</v>
      </c>
      <c r="N79" s="4" t="s">
        <v>3</v>
      </c>
      <c r="O79" s="4">
        <v>2</v>
      </c>
      <c r="P79" s="4"/>
    </row>
    <row r="80" spans="1:16" ht="12.75">
      <c r="A80" s="4">
        <v>50</v>
      </c>
      <c r="B80" s="4">
        <v>0</v>
      </c>
      <c r="C80" s="4">
        <v>0</v>
      </c>
      <c r="D80" s="4">
        <v>1</v>
      </c>
      <c r="E80" s="4">
        <v>216</v>
      </c>
      <c r="F80" s="4">
        <f>ROUND(Source!AP71,O80)</f>
        <v>0</v>
      </c>
      <c r="G80" s="4" t="s">
        <v>130</v>
      </c>
      <c r="H80" s="4" t="s">
        <v>131</v>
      </c>
      <c r="I80" s="4"/>
      <c r="J80" s="4"/>
      <c r="K80" s="4">
        <v>216</v>
      </c>
      <c r="L80" s="4">
        <v>8</v>
      </c>
      <c r="M80" s="4">
        <v>3</v>
      </c>
      <c r="N80" s="4" t="s">
        <v>3</v>
      </c>
      <c r="O80" s="4">
        <v>2</v>
      </c>
      <c r="P80" s="4"/>
    </row>
    <row r="81" spans="1:16" ht="12.75">
      <c r="A81" s="4">
        <v>50</v>
      </c>
      <c r="B81" s="4">
        <v>0</v>
      </c>
      <c r="C81" s="4">
        <v>0</v>
      </c>
      <c r="D81" s="4">
        <v>1</v>
      </c>
      <c r="E81" s="4">
        <v>223</v>
      </c>
      <c r="F81" s="4">
        <f>ROUND(Source!AQ71,O81)</f>
        <v>0</v>
      </c>
      <c r="G81" s="4" t="s">
        <v>132</v>
      </c>
      <c r="H81" s="4" t="s">
        <v>133</v>
      </c>
      <c r="I81" s="4"/>
      <c r="J81" s="4"/>
      <c r="K81" s="4">
        <v>223</v>
      </c>
      <c r="L81" s="4">
        <v>9</v>
      </c>
      <c r="M81" s="4">
        <v>3</v>
      </c>
      <c r="N81" s="4" t="s">
        <v>3</v>
      </c>
      <c r="O81" s="4">
        <v>2</v>
      </c>
      <c r="P81" s="4"/>
    </row>
    <row r="82" spans="1:16" ht="12.75">
      <c r="A82" s="4">
        <v>50</v>
      </c>
      <c r="B82" s="4">
        <v>0</v>
      </c>
      <c r="C82" s="4">
        <v>0</v>
      </c>
      <c r="D82" s="4">
        <v>1</v>
      </c>
      <c r="E82" s="4">
        <v>229</v>
      </c>
      <c r="F82" s="4">
        <f>ROUND(Source!AZ71,O82)</f>
        <v>0</v>
      </c>
      <c r="G82" s="4" t="s">
        <v>134</v>
      </c>
      <c r="H82" s="4" t="s">
        <v>135</v>
      </c>
      <c r="I82" s="4"/>
      <c r="J82" s="4"/>
      <c r="K82" s="4">
        <v>229</v>
      </c>
      <c r="L82" s="4">
        <v>10</v>
      </c>
      <c r="M82" s="4">
        <v>3</v>
      </c>
      <c r="N82" s="4" t="s">
        <v>3</v>
      </c>
      <c r="O82" s="4">
        <v>2</v>
      </c>
      <c r="P82" s="4"/>
    </row>
    <row r="83" spans="1:16" ht="12.75">
      <c r="A83" s="4">
        <v>50</v>
      </c>
      <c r="B83" s="4">
        <v>0</v>
      </c>
      <c r="C83" s="4">
        <v>0</v>
      </c>
      <c r="D83" s="4">
        <v>1</v>
      </c>
      <c r="E83" s="4">
        <v>203</v>
      </c>
      <c r="F83" s="4">
        <f>ROUND(Source!Q71,O83)</f>
        <v>23907.26</v>
      </c>
      <c r="G83" s="4" t="s">
        <v>136</v>
      </c>
      <c r="H83" s="4" t="s">
        <v>137</v>
      </c>
      <c r="I83" s="4"/>
      <c r="J83" s="4"/>
      <c r="K83" s="4">
        <v>203</v>
      </c>
      <c r="L83" s="4">
        <v>11</v>
      </c>
      <c r="M83" s="4">
        <v>3</v>
      </c>
      <c r="N83" s="4" t="s">
        <v>3</v>
      </c>
      <c r="O83" s="4">
        <v>2</v>
      </c>
      <c r="P83" s="4"/>
    </row>
    <row r="84" spans="1:16" ht="12.75">
      <c r="A84" s="4">
        <v>50</v>
      </c>
      <c r="B84" s="4">
        <v>0</v>
      </c>
      <c r="C84" s="4">
        <v>0</v>
      </c>
      <c r="D84" s="4">
        <v>1</v>
      </c>
      <c r="E84" s="4">
        <v>204</v>
      </c>
      <c r="F84" s="4">
        <f>ROUND(Source!R71,O84)</f>
        <v>8378.74</v>
      </c>
      <c r="G84" s="4" t="s">
        <v>138</v>
      </c>
      <c r="H84" s="4" t="s">
        <v>139</v>
      </c>
      <c r="I84" s="4"/>
      <c r="J84" s="4"/>
      <c r="K84" s="4">
        <v>204</v>
      </c>
      <c r="L84" s="4">
        <v>12</v>
      </c>
      <c r="M84" s="4">
        <v>3</v>
      </c>
      <c r="N84" s="4" t="s">
        <v>3</v>
      </c>
      <c r="O84" s="4">
        <v>2</v>
      </c>
      <c r="P84" s="4"/>
    </row>
    <row r="85" spans="1:16" ht="12.75">
      <c r="A85" s="4">
        <v>50</v>
      </c>
      <c r="B85" s="4">
        <v>0</v>
      </c>
      <c r="C85" s="4">
        <v>0</v>
      </c>
      <c r="D85" s="4">
        <v>1</v>
      </c>
      <c r="E85" s="4">
        <v>205</v>
      </c>
      <c r="F85" s="4">
        <f>ROUND(Source!S71,O85)</f>
        <v>176079.92</v>
      </c>
      <c r="G85" s="4" t="s">
        <v>140</v>
      </c>
      <c r="H85" s="4" t="s">
        <v>141</v>
      </c>
      <c r="I85" s="4"/>
      <c r="J85" s="4"/>
      <c r="K85" s="4">
        <v>205</v>
      </c>
      <c r="L85" s="4">
        <v>13</v>
      </c>
      <c r="M85" s="4">
        <v>3</v>
      </c>
      <c r="N85" s="4" t="s">
        <v>3</v>
      </c>
      <c r="O85" s="4">
        <v>2</v>
      </c>
      <c r="P85" s="4"/>
    </row>
    <row r="86" spans="1:16" ht="12.75">
      <c r="A86" s="4">
        <v>50</v>
      </c>
      <c r="B86" s="4">
        <v>0</v>
      </c>
      <c r="C86" s="4">
        <v>0</v>
      </c>
      <c r="D86" s="4">
        <v>1</v>
      </c>
      <c r="E86" s="4">
        <v>214</v>
      </c>
      <c r="F86" s="4">
        <f>ROUND(Source!AS71,O86)</f>
        <v>713045.45</v>
      </c>
      <c r="G86" s="4" t="s">
        <v>142</v>
      </c>
      <c r="H86" s="4" t="s">
        <v>143</v>
      </c>
      <c r="I86" s="4"/>
      <c r="J86" s="4"/>
      <c r="K86" s="4">
        <v>214</v>
      </c>
      <c r="L86" s="4">
        <v>14</v>
      </c>
      <c r="M86" s="4">
        <v>3</v>
      </c>
      <c r="N86" s="4" t="s">
        <v>3</v>
      </c>
      <c r="O86" s="4">
        <v>2</v>
      </c>
      <c r="P86" s="4"/>
    </row>
    <row r="87" spans="1:16" ht="12.75">
      <c r="A87" s="4">
        <v>50</v>
      </c>
      <c r="B87" s="4">
        <v>0</v>
      </c>
      <c r="C87" s="4">
        <v>0</v>
      </c>
      <c r="D87" s="4">
        <v>1</v>
      </c>
      <c r="E87" s="4">
        <v>215</v>
      </c>
      <c r="F87" s="4">
        <f>ROUND(Source!AT71,O87)</f>
        <v>0</v>
      </c>
      <c r="G87" s="4" t="s">
        <v>144</v>
      </c>
      <c r="H87" s="4" t="s">
        <v>145</v>
      </c>
      <c r="I87" s="4"/>
      <c r="J87" s="4"/>
      <c r="K87" s="4">
        <v>215</v>
      </c>
      <c r="L87" s="4">
        <v>15</v>
      </c>
      <c r="M87" s="4">
        <v>3</v>
      </c>
      <c r="N87" s="4" t="s">
        <v>3</v>
      </c>
      <c r="O87" s="4">
        <v>2</v>
      </c>
      <c r="P87" s="4"/>
    </row>
    <row r="88" spans="1:16" ht="12.75">
      <c r="A88" s="4">
        <v>50</v>
      </c>
      <c r="B88" s="4">
        <v>0</v>
      </c>
      <c r="C88" s="4">
        <v>0</v>
      </c>
      <c r="D88" s="4">
        <v>1</v>
      </c>
      <c r="E88" s="4">
        <v>217</v>
      </c>
      <c r="F88" s="4">
        <f>ROUND(Source!AU71,O88)</f>
        <v>8173.59</v>
      </c>
      <c r="G88" s="4" t="s">
        <v>146</v>
      </c>
      <c r="H88" s="4" t="s">
        <v>147</v>
      </c>
      <c r="I88" s="4"/>
      <c r="J88" s="4"/>
      <c r="K88" s="4">
        <v>217</v>
      </c>
      <c r="L88" s="4">
        <v>16</v>
      </c>
      <c r="M88" s="4">
        <v>3</v>
      </c>
      <c r="N88" s="4" t="s">
        <v>3</v>
      </c>
      <c r="O88" s="4">
        <v>2</v>
      </c>
      <c r="P88" s="4"/>
    </row>
    <row r="89" spans="1:16" ht="12.75">
      <c r="A89" s="4">
        <v>50</v>
      </c>
      <c r="B89" s="4">
        <v>0</v>
      </c>
      <c r="C89" s="4">
        <v>0</v>
      </c>
      <c r="D89" s="4">
        <v>1</v>
      </c>
      <c r="E89" s="4">
        <v>206</v>
      </c>
      <c r="F89" s="4">
        <f>ROUND(Source!T71,O89)</f>
        <v>0</v>
      </c>
      <c r="G89" s="4" t="s">
        <v>148</v>
      </c>
      <c r="H89" s="4" t="s">
        <v>149</v>
      </c>
      <c r="I89" s="4"/>
      <c r="J89" s="4"/>
      <c r="K89" s="4">
        <v>206</v>
      </c>
      <c r="L89" s="4">
        <v>17</v>
      </c>
      <c r="M89" s="4">
        <v>3</v>
      </c>
      <c r="N89" s="4" t="s">
        <v>3</v>
      </c>
      <c r="O89" s="4">
        <v>2</v>
      </c>
      <c r="P89" s="4"/>
    </row>
    <row r="90" spans="1:16" ht="12.75">
      <c r="A90" s="4">
        <v>50</v>
      </c>
      <c r="B90" s="4">
        <v>0</v>
      </c>
      <c r="C90" s="4">
        <v>0</v>
      </c>
      <c r="D90" s="4">
        <v>1</v>
      </c>
      <c r="E90" s="4">
        <v>207</v>
      </c>
      <c r="F90" s="4">
        <f>Source!U71</f>
        <v>905.3946199999999</v>
      </c>
      <c r="G90" s="4" t="s">
        <v>150</v>
      </c>
      <c r="H90" s="4" t="s">
        <v>151</v>
      </c>
      <c r="I90" s="4"/>
      <c r="J90" s="4"/>
      <c r="K90" s="4">
        <v>207</v>
      </c>
      <c r="L90" s="4">
        <v>18</v>
      </c>
      <c r="M90" s="4">
        <v>3</v>
      </c>
      <c r="N90" s="4" t="s">
        <v>3</v>
      </c>
      <c r="O90" s="4">
        <v>-1</v>
      </c>
      <c r="P90" s="4"/>
    </row>
    <row r="91" spans="1:16" ht="12.75">
      <c r="A91" s="4">
        <v>50</v>
      </c>
      <c r="B91" s="4">
        <v>0</v>
      </c>
      <c r="C91" s="4">
        <v>0</v>
      </c>
      <c r="D91" s="4">
        <v>1</v>
      </c>
      <c r="E91" s="4">
        <v>208</v>
      </c>
      <c r="F91" s="4">
        <f>Source!V71</f>
        <v>0</v>
      </c>
      <c r="G91" s="4" t="s">
        <v>152</v>
      </c>
      <c r="H91" s="4" t="s">
        <v>153</v>
      </c>
      <c r="I91" s="4"/>
      <c r="J91" s="4"/>
      <c r="K91" s="4">
        <v>208</v>
      </c>
      <c r="L91" s="4">
        <v>19</v>
      </c>
      <c r="M91" s="4">
        <v>3</v>
      </c>
      <c r="N91" s="4" t="s">
        <v>3</v>
      </c>
      <c r="O91" s="4">
        <v>-1</v>
      </c>
      <c r="P91" s="4"/>
    </row>
    <row r="92" spans="1:16" ht="12.75">
      <c r="A92" s="4">
        <v>50</v>
      </c>
      <c r="B92" s="4">
        <v>0</v>
      </c>
      <c r="C92" s="4">
        <v>0</v>
      </c>
      <c r="D92" s="4">
        <v>1</v>
      </c>
      <c r="E92" s="4">
        <v>209</v>
      </c>
      <c r="F92" s="4">
        <f>ROUND(Source!W71,O92)</f>
        <v>0</v>
      </c>
      <c r="G92" s="4" t="s">
        <v>154</v>
      </c>
      <c r="H92" s="4" t="s">
        <v>155</v>
      </c>
      <c r="I92" s="4"/>
      <c r="J92" s="4"/>
      <c r="K92" s="4">
        <v>209</v>
      </c>
      <c r="L92" s="4">
        <v>20</v>
      </c>
      <c r="M92" s="4">
        <v>3</v>
      </c>
      <c r="N92" s="4" t="s">
        <v>3</v>
      </c>
      <c r="O92" s="4">
        <v>2</v>
      </c>
      <c r="P92" s="4"/>
    </row>
    <row r="93" spans="1:16" ht="12.75">
      <c r="A93" s="4">
        <v>50</v>
      </c>
      <c r="B93" s="4">
        <v>0</v>
      </c>
      <c r="C93" s="4">
        <v>0</v>
      </c>
      <c r="D93" s="4">
        <v>1</v>
      </c>
      <c r="E93" s="4">
        <v>210</v>
      </c>
      <c r="F93" s="4">
        <f>ROUND(Source!X71,O93)</f>
        <v>144785.77</v>
      </c>
      <c r="G93" s="4" t="s">
        <v>156</v>
      </c>
      <c r="H93" s="4" t="s">
        <v>157</v>
      </c>
      <c r="I93" s="4"/>
      <c r="J93" s="4"/>
      <c r="K93" s="4">
        <v>210</v>
      </c>
      <c r="L93" s="4">
        <v>21</v>
      </c>
      <c r="M93" s="4">
        <v>3</v>
      </c>
      <c r="N93" s="4" t="s">
        <v>3</v>
      </c>
      <c r="O93" s="4">
        <v>2</v>
      </c>
      <c r="P93" s="4"/>
    </row>
    <row r="94" spans="1:16" ht="12.75">
      <c r="A94" s="4">
        <v>50</v>
      </c>
      <c r="B94" s="4">
        <v>0</v>
      </c>
      <c r="C94" s="4">
        <v>0</v>
      </c>
      <c r="D94" s="4">
        <v>1</v>
      </c>
      <c r="E94" s="4">
        <v>211</v>
      </c>
      <c r="F94" s="4">
        <f>ROUND(Source!Y71,O94)</f>
        <v>77475.16</v>
      </c>
      <c r="G94" s="4" t="s">
        <v>158</v>
      </c>
      <c r="H94" s="4" t="s">
        <v>159</v>
      </c>
      <c r="I94" s="4"/>
      <c r="J94" s="4"/>
      <c r="K94" s="4">
        <v>211</v>
      </c>
      <c r="L94" s="4">
        <v>22</v>
      </c>
      <c r="M94" s="4">
        <v>3</v>
      </c>
      <c r="N94" s="4" t="s">
        <v>3</v>
      </c>
      <c r="O94" s="4">
        <v>2</v>
      </c>
      <c r="P94" s="4"/>
    </row>
    <row r="95" spans="1:16" ht="12.75">
      <c r="A95" s="4">
        <v>50</v>
      </c>
      <c r="B95" s="4">
        <v>0</v>
      </c>
      <c r="C95" s="4">
        <v>0</v>
      </c>
      <c r="D95" s="4">
        <v>1</v>
      </c>
      <c r="E95" s="4">
        <v>224</v>
      </c>
      <c r="F95" s="4">
        <f>ROUND(Source!AR71,O95)</f>
        <v>721219.04</v>
      </c>
      <c r="G95" s="4" t="s">
        <v>160</v>
      </c>
      <c r="H95" s="4" t="s">
        <v>161</v>
      </c>
      <c r="I95" s="4"/>
      <c r="J95" s="4"/>
      <c r="K95" s="4">
        <v>224</v>
      </c>
      <c r="L95" s="4">
        <v>23</v>
      </c>
      <c r="M95" s="4">
        <v>3</v>
      </c>
      <c r="N95" s="4" t="s">
        <v>3</v>
      </c>
      <c r="O95" s="4">
        <v>2</v>
      </c>
      <c r="P95" s="4"/>
    </row>
    <row r="96" spans="1:16" ht="12.75">
      <c r="A96" s="4">
        <v>50</v>
      </c>
      <c r="B96" s="4">
        <v>1</v>
      </c>
      <c r="C96" s="4">
        <v>0</v>
      </c>
      <c r="D96" s="4">
        <v>2</v>
      </c>
      <c r="E96" s="4">
        <v>0</v>
      </c>
      <c r="F96" s="4">
        <f>ROUND(F95,O96)</f>
        <v>721219.04</v>
      </c>
      <c r="G96" s="4" t="s">
        <v>162</v>
      </c>
      <c r="H96" s="4" t="s">
        <v>163</v>
      </c>
      <c r="I96" s="4"/>
      <c r="J96" s="4"/>
      <c r="K96" s="4">
        <v>212</v>
      </c>
      <c r="L96" s="4">
        <v>24</v>
      </c>
      <c r="M96" s="4">
        <v>0</v>
      </c>
      <c r="N96" s="4" t="s">
        <v>3</v>
      </c>
      <c r="O96" s="4">
        <v>2</v>
      </c>
      <c r="P96" s="4"/>
    </row>
    <row r="97" spans="1:16" ht="12.75">
      <c r="A97" s="4">
        <v>50</v>
      </c>
      <c r="B97" s="4">
        <v>1</v>
      </c>
      <c r="C97" s="4">
        <v>0</v>
      </c>
      <c r="D97" s="4">
        <v>2</v>
      </c>
      <c r="E97" s="4">
        <v>0</v>
      </c>
      <c r="F97" s="4">
        <f>ROUND(F96*0.18,O97)</f>
        <v>129819.43</v>
      </c>
      <c r="G97" s="4" t="s">
        <v>164</v>
      </c>
      <c r="H97" s="4" t="s">
        <v>165</v>
      </c>
      <c r="I97" s="4"/>
      <c r="J97" s="4"/>
      <c r="K97" s="4">
        <v>212</v>
      </c>
      <c r="L97" s="4">
        <v>25</v>
      </c>
      <c r="M97" s="4">
        <v>0</v>
      </c>
      <c r="N97" s="4" t="s">
        <v>3</v>
      </c>
      <c r="O97" s="4">
        <v>2</v>
      </c>
      <c r="P97" s="4"/>
    </row>
    <row r="98" spans="1:16" ht="12.75">
      <c r="A98" s="4">
        <v>50</v>
      </c>
      <c r="B98" s="4">
        <v>1</v>
      </c>
      <c r="C98" s="4">
        <v>0</v>
      </c>
      <c r="D98" s="4">
        <v>2</v>
      </c>
      <c r="E98" s="4">
        <v>0</v>
      </c>
      <c r="F98" s="4">
        <f>ROUND(F96*1.18,O98)</f>
        <v>851038.47</v>
      </c>
      <c r="G98" s="4" t="s">
        <v>166</v>
      </c>
      <c r="H98" s="4" t="s">
        <v>160</v>
      </c>
      <c r="I98" s="4"/>
      <c r="J98" s="4"/>
      <c r="K98" s="4">
        <v>212</v>
      </c>
      <c r="L98" s="4">
        <v>26</v>
      </c>
      <c r="M98" s="4">
        <v>0</v>
      </c>
      <c r="N98" s="4" t="s">
        <v>3</v>
      </c>
      <c r="O98" s="4">
        <v>2</v>
      </c>
      <c r="P98" s="4"/>
    </row>
    <row r="101" ht="12.75">
      <c r="A101">
        <v>-1</v>
      </c>
    </row>
    <row r="103" spans="1:15" ht="12.75">
      <c r="A103" s="3">
        <v>75</v>
      </c>
      <c r="B103" s="3" t="s">
        <v>167</v>
      </c>
      <c r="C103" s="3">
        <v>2016</v>
      </c>
      <c r="D103" s="3">
        <v>0</v>
      </c>
      <c r="E103" s="3">
        <v>5</v>
      </c>
      <c r="F103" s="3">
        <v>0</v>
      </c>
      <c r="G103" s="3">
        <v>0</v>
      </c>
      <c r="H103" s="3">
        <v>2</v>
      </c>
      <c r="I103" s="3">
        <v>1</v>
      </c>
      <c r="J103" s="3">
        <v>1</v>
      </c>
      <c r="K103" s="3">
        <v>98</v>
      </c>
      <c r="L103" s="3">
        <v>69</v>
      </c>
      <c r="M103" s="3">
        <v>0</v>
      </c>
      <c r="N103" s="3">
        <v>30840905</v>
      </c>
      <c r="O103" s="3">
        <v>1</v>
      </c>
    </row>
    <row r="104" spans="1:26" ht="12.75">
      <c r="A104" s="5">
        <v>1</v>
      </c>
      <c r="B104" s="5" t="s">
        <v>168</v>
      </c>
      <c r="C104" s="5" t="s">
        <v>169</v>
      </c>
      <c r="D104" s="5">
        <v>2016</v>
      </c>
      <c r="E104" s="5">
        <v>5</v>
      </c>
      <c r="F104" s="5">
        <v>1</v>
      </c>
      <c r="G104" s="5">
        <v>1</v>
      </c>
      <c r="H104" s="5">
        <v>0</v>
      </c>
      <c r="I104" s="5">
        <v>2</v>
      </c>
      <c r="J104" s="5">
        <v>1</v>
      </c>
      <c r="K104" s="5">
        <v>1</v>
      </c>
      <c r="L104" s="5">
        <v>1</v>
      </c>
      <c r="M104" s="5">
        <v>1</v>
      </c>
      <c r="N104" s="5">
        <v>1</v>
      </c>
      <c r="O104" s="5">
        <v>1</v>
      </c>
      <c r="P104" s="5">
        <v>1</v>
      </c>
      <c r="Q104" s="5">
        <v>1</v>
      </c>
      <c r="R104" s="5" t="s">
        <v>3</v>
      </c>
      <c r="S104" s="5" t="s">
        <v>3</v>
      </c>
      <c r="T104" s="5" t="s">
        <v>3</v>
      </c>
      <c r="U104" s="5" t="s">
        <v>3</v>
      </c>
      <c r="V104" s="5" t="s">
        <v>3</v>
      </c>
      <c r="W104" s="5" t="s">
        <v>3</v>
      </c>
      <c r="X104" s="5" t="s">
        <v>3</v>
      </c>
      <c r="Y104" s="5" t="s">
        <v>3</v>
      </c>
      <c r="Z104" s="5" t="s">
        <v>3</v>
      </c>
    </row>
    <row r="108" spans="1:5" ht="12.75">
      <c r="A108">
        <v>65</v>
      </c>
      <c r="C108">
        <v>1</v>
      </c>
      <c r="D108">
        <v>0</v>
      </c>
      <c r="E108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C5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170</v>
      </c>
      <c r="F1">
        <v>0</v>
      </c>
      <c r="G1">
        <v>0</v>
      </c>
      <c r="H1">
        <v>0</v>
      </c>
      <c r="I1" t="s">
        <v>2</v>
      </c>
      <c r="K1">
        <v>0</v>
      </c>
      <c r="L1">
        <v>30337</v>
      </c>
      <c r="M1">
        <v>10</v>
      </c>
    </row>
    <row r="12" spans="1:133" ht="12.75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167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1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8200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30840905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63" ht="12.75">
      <c r="A16" s="6">
        <v>3</v>
      </c>
      <c r="B16" s="6">
        <v>1</v>
      </c>
      <c r="C16" s="6" t="s">
        <v>12</v>
      </c>
      <c r="D16" s="6" t="s">
        <v>12</v>
      </c>
      <c r="E16" s="7">
        <v>715.23971</v>
      </c>
      <c r="F16" s="7">
        <v>0</v>
      </c>
      <c r="G16" s="7">
        <v>0</v>
      </c>
      <c r="H16" s="7">
        <v>8.17359</v>
      </c>
      <c r="I16" s="7">
        <v>723.4133</v>
      </c>
      <c r="J16" s="7">
        <v>176.07992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487159.87</v>
      </c>
      <c r="AU16" s="7">
        <v>287172.69</v>
      </c>
      <c r="AV16" s="7">
        <v>0</v>
      </c>
      <c r="AW16" s="7">
        <v>0</v>
      </c>
      <c r="AX16" s="7">
        <v>0</v>
      </c>
      <c r="AY16" s="7">
        <v>23907.26</v>
      </c>
      <c r="AZ16" s="7">
        <v>8378.74</v>
      </c>
      <c r="BA16" s="7">
        <v>176079.92</v>
      </c>
      <c r="BB16" s="7">
        <v>715239.71</v>
      </c>
      <c r="BC16" s="7">
        <v>0</v>
      </c>
      <c r="BD16" s="7">
        <v>8173.59</v>
      </c>
      <c r="BE16" s="7">
        <v>0</v>
      </c>
      <c r="BF16" s="7">
        <v>905.39462</v>
      </c>
      <c r="BG16" s="7">
        <v>0</v>
      </c>
      <c r="BH16" s="7">
        <v>0</v>
      </c>
      <c r="BI16" s="7">
        <v>144785.77</v>
      </c>
      <c r="BJ16" s="7">
        <v>77475.16</v>
      </c>
      <c r="BK16" s="7">
        <v>723413.3</v>
      </c>
    </row>
    <row r="18" spans="1:19" ht="12.75">
      <c r="A18">
        <v>51</v>
      </c>
      <c r="E18" s="8">
        <v>715.23971</v>
      </c>
      <c r="F18" s="8">
        <v>0</v>
      </c>
      <c r="G18" s="8">
        <v>0</v>
      </c>
      <c r="H18" s="8">
        <v>8.17359</v>
      </c>
      <c r="I18" s="8">
        <v>723.4133</v>
      </c>
      <c r="J18" s="8">
        <v>176.07992</v>
      </c>
      <c r="K18" s="8"/>
      <c r="L18" s="8"/>
      <c r="M18" s="8"/>
      <c r="N18" s="8"/>
      <c r="O18" s="8"/>
      <c r="P18" s="8"/>
      <c r="Q18" s="8"/>
      <c r="R18" s="8"/>
      <c r="S18" s="8"/>
    </row>
    <row r="20" spans="1:16" ht="12.7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487159.87</v>
      </c>
      <c r="G20" s="4" t="s">
        <v>116</v>
      </c>
      <c r="H20" s="4" t="s">
        <v>117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287172.69</v>
      </c>
      <c r="G21" s="4" t="s">
        <v>118</v>
      </c>
      <c r="H21" s="4" t="s">
        <v>119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120</v>
      </c>
      <c r="H22" s="4" t="s">
        <v>121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287172.69</v>
      </c>
      <c r="G23" s="4" t="s">
        <v>122</v>
      </c>
      <c r="H23" s="4" t="s">
        <v>123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287172.69</v>
      </c>
      <c r="G24" s="4" t="s">
        <v>124</v>
      </c>
      <c r="H24" s="4" t="s">
        <v>125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126</v>
      </c>
      <c r="H25" s="4" t="s">
        <v>127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287172.69</v>
      </c>
      <c r="G26" s="4" t="s">
        <v>128</v>
      </c>
      <c r="H26" s="4" t="s">
        <v>129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130</v>
      </c>
      <c r="H27" s="4" t="s">
        <v>131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132</v>
      </c>
      <c r="H28" s="4" t="s">
        <v>133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6" ht="12.75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134</v>
      </c>
      <c r="H29" s="4" t="s">
        <v>135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23907.26</v>
      </c>
      <c r="G30" s="4" t="s">
        <v>136</v>
      </c>
      <c r="H30" s="4" t="s">
        <v>137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6" ht="12.75">
      <c r="A31" s="4">
        <v>50</v>
      </c>
      <c r="B31" s="4">
        <v>0</v>
      </c>
      <c r="C31" s="4">
        <v>0</v>
      </c>
      <c r="D31" s="4">
        <v>1</v>
      </c>
      <c r="E31" s="4">
        <v>204</v>
      </c>
      <c r="F31" s="4">
        <v>8378.74</v>
      </c>
      <c r="G31" s="4" t="s">
        <v>138</v>
      </c>
      <c r="H31" s="4" t="s">
        <v>139</v>
      </c>
      <c r="I31" s="4"/>
      <c r="J31" s="4"/>
      <c r="K31" s="4">
        <v>204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205</v>
      </c>
      <c r="F32" s="4">
        <v>176079.92</v>
      </c>
      <c r="G32" s="4" t="s">
        <v>140</v>
      </c>
      <c r="H32" s="4" t="s">
        <v>141</v>
      </c>
      <c r="I32" s="4"/>
      <c r="J32" s="4"/>
      <c r="K32" s="4">
        <v>205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214</v>
      </c>
      <c r="F33" s="4">
        <v>715239.71</v>
      </c>
      <c r="G33" s="4" t="s">
        <v>142</v>
      </c>
      <c r="H33" s="4" t="s">
        <v>143</v>
      </c>
      <c r="I33" s="4"/>
      <c r="J33" s="4"/>
      <c r="K33" s="4">
        <v>214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215</v>
      </c>
      <c r="F34" s="4">
        <v>0</v>
      </c>
      <c r="G34" s="4" t="s">
        <v>144</v>
      </c>
      <c r="H34" s="4" t="s">
        <v>145</v>
      </c>
      <c r="I34" s="4"/>
      <c r="J34" s="4"/>
      <c r="K34" s="4">
        <v>215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217</v>
      </c>
      <c r="F35" s="4">
        <v>8173.59</v>
      </c>
      <c r="G35" s="4" t="s">
        <v>146</v>
      </c>
      <c r="H35" s="4" t="s">
        <v>147</v>
      </c>
      <c r="I35" s="4"/>
      <c r="J35" s="4"/>
      <c r="K35" s="4">
        <v>217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206</v>
      </c>
      <c r="F36" s="4">
        <v>0</v>
      </c>
      <c r="G36" s="4" t="s">
        <v>148</v>
      </c>
      <c r="H36" s="4" t="s">
        <v>149</v>
      </c>
      <c r="I36" s="4"/>
      <c r="J36" s="4"/>
      <c r="K36" s="4">
        <v>206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207</v>
      </c>
      <c r="F37" s="4">
        <v>905.39462</v>
      </c>
      <c r="G37" s="4" t="s">
        <v>150</v>
      </c>
      <c r="H37" s="4" t="s">
        <v>151</v>
      </c>
      <c r="I37" s="4"/>
      <c r="J37" s="4"/>
      <c r="K37" s="4">
        <v>207</v>
      </c>
      <c r="L37" s="4">
        <v>18</v>
      </c>
      <c r="M37" s="4">
        <v>3</v>
      </c>
      <c r="N37" s="4" t="s">
        <v>3</v>
      </c>
      <c r="O37" s="4">
        <v>-1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208</v>
      </c>
      <c r="F38" s="4">
        <v>0</v>
      </c>
      <c r="G38" s="4" t="s">
        <v>152</v>
      </c>
      <c r="H38" s="4" t="s">
        <v>153</v>
      </c>
      <c r="I38" s="4"/>
      <c r="J38" s="4"/>
      <c r="K38" s="4">
        <v>208</v>
      </c>
      <c r="L38" s="4">
        <v>19</v>
      </c>
      <c r="M38" s="4">
        <v>3</v>
      </c>
      <c r="N38" s="4" t="s">
        <v>3</v>
      </c>
      <c r="O38" s="4">
        <v>-1</v>
      </c>
      <c r="P38" s="4"/>
    </row>
    <row r="39" spans="1:16" ht="12.75">
      <c r="A39" s="4">
        <v>50</v>
      </c>
      <c r="B39" s="4">
        <v>0</v>
      </c>
      <c r="C39" s="4">
        <v>0</v>
      </c>
      <c r="D39" s="4">
        <v>1</v>
      </c>
      <c r="E39" s="4">
        <v>209</v>
      </c>
      <c r="F39" s="4">
        <v>0</v>
      </c>
      <c r="G39" s="4" t="s">
        <v>154</v>
      </c>
      <c r="H39" s="4" t="s">
        <v>155</v>
      </c>
      <c r="I39" s="4"/>
      <c r="J39" s="4"/>
      <c r="K39" s="4">
        <v>209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ht="12.75">
      <c r="A40" s="4">
        <v>50</v>
      </c>
      <c r="B40" s="4">
        <v>0</v>
      </c>
      <c r="C40" s="4">
        <v>0</v>
      </c>
      <c r="D40" s="4">
        <v>1</v>
      </c>
      <c r="E40" s="4">
        <v>210</v>
      </c>
      <c r="F40" s="4">
        <v>144785.77</v>
      </c>
      <c r="G40" s="4" t="s">
        <v>156</v>
      </c>
      <c r="H40" s="4" t="s">
        <v>157</v>
      </c>
      <c r="I40" s="4"/>
      <c r="J40" s="4"/>
      <c r="K40" s="4">
        <v>210</v>
      </c>
      <c r="L40" s="4">
        <v>21</v>
      </c>
      <c r="M40" s="4">
        <v>3</v>
      </c>
      <c r="N40" s="4" t="s">
        <v>3</v>
      </c>
      <c r="O40" s="4">
        <v>2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211</v>
      </c>
      <c r="F41" s="4">
        <v>77475.16</v>
      </c>
      <c r="G41" s="4" t="s">
        <v>158</v>
      </c>
      <c r="H41" s="4" t="s">
        <v>159</v>
      </c>
      <c r="I41" s="4"/>
      <c r="J41" s="4"/>
      <c r="K41" s="4">
        <v>211</v>
      </c>
      <c r="L41" s="4">
        <v>22</v>
      </c>
      <c r="M41" s="4">
        <v>3</v>
      </c>
      <c r="N41" s="4" t="s">
        <v>3</v>
      </c>
      <c r="O41" s="4">
        <v>2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224</v>
      </c>
      <c r="F42" s="4">
        <v>723413.3</v>
      </c>
      <c r="G42" s="4" t="s">
        <v>160</v>
      </c>
      <c r="H42" s="4" t="s">
        <v>161</v>
      </c>
      <c r="I42" s="4"/>
      <c r="J42" s="4"/>
      <c r="K42" s="4">
        <v>224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ht="12.75">
      <c r="A43" s="4">
        <v>50</v>
      </c>
      <c r="B43" s="4">
        <v>1</v>
      </c>
      <c r="C43" s="4">
        <v>0</v>
      </c>
      <c r="D43" s="4">
        <v>2</v>
      </c>
      <c r="E43" s="4">
        <v>0</v>
      </c>
      <c r="F43" s="4">
        <v>723413.3</v>
      </c>
      <c r="G43" s="4" t="s">
        <v>162</v>
      </c>
      <c r="H43" s="4" t="s">
        <v>163</v>
      </c>
      <c r="I43" s="4"/>
      <c r="J43" s="4"/>
      <c r="K43" s="4">
        <v>212</v>
      </c>
      <c r="L43" s="4">
        <v>24</v>
      </c>
      <c r="M43" s="4">
        <v>0</v>
      </c>
      <c r="N43" s="4" t="s">
        <v>3</v>
      </c>
      <c r="O43" s="4">
        <v>2</v>
      </c>
      <c r="P43" s="4"/>
    </row>
    <row r="44" spans="1:16" ht="12.75">
      <c r="A44" s="4">
        <v>50</v>
      </c>
      <c r="B44" s="4">
        <v>1</v>
      </c>
      <c r="C44" s="4">
        <v>0</v>
      </c>
      <c r="D44" s="4">
        <v>2</v>
      </c>
      <c r="E44" s="4">
        <v>0</v>
      </c>
      <c r="F44" s="4">
        <v>130214.39</v>
      </c>
      <c r="G44" s="4" t="s">
        <v>164</v>
      </c>
      <c r="H44" s="4" t="s">
        <v>165</v>
      </c>
      <c r="I44" s="4"/>
      <c r="J44" s="4"/>
      <c r="K44" s="4">
        <v>212</v>
      </c>
      <c r="L44" s="4">
        <v>25</v>
      </c>
      <c r="M44" s="4">
        <v>0</v>
      </c>
      <c r="N44" s="4" t="s">
        <v>3</v>
      </c>
      <c r="O44" s="4">
        <v>2</v>
      </c>
      <c r="P44" s="4"/>
    </row>
    <row r="45" spans="1:16" ht="12.75">
      <c r="A45" s="4">
        <v>50</v>
      </c>
      <c r="B45" s="4">
        <v>1</v>
      </c>
      <c r="C45" s="4">
        <v>0</v>
      </c>
      <c r="D45" s="4">
        <v>2</v>
      </c>
      <c r="E45" s="4">
        <v>0</v>
      </c>
      <c r="F45" s="4">
        <v>853627.69</v>
      </c>
      <c r="G45" s="4" t="s">
        <v>166</v>
      </c>
      <c r="H45" s="4" t="s">
        <v>160</v>
      </c>
      <c r="I45" s="4"/>
      <c r="J45" s="4"/>
      <c r="K45" s="4">
        <v>212</v>
      </c>
      <c r="L45" s="4">
        <v>26</v>
      </c>
      <c r="M45" s="4">
        <v>0</v>
      </c>
      <c r="N45" s="4" t="s">
        <v>3</v>
      </c>
      <c r="O45" s="4">
        <v>2</v>
      </c>
      <c r="P45" s="4"/>
    </row>
    <row r="47" ht="12.75">
      <c r="A47">
        <v>-1</v>
      </c>
    </row>
    <row r="50" spans="1:15" ht="12.75">
      <c r="A50" s="3">
        <v>75</v>
      </c>
      <c r="B50" s="3" t="s">
        <v>167</v>
      </c>
      <c r="C50" s="3">
        <v>2016</v>
      </c>
      <c r="D50" s="3">
        <v>0</v>
      </c>
      <c r="E50" s="3">
        <v>5</v>
      </c>
      <c r="F50" s="3">
        <v>0</v>
      </c>
      <c r="G50" s="3">
        <v>0</v>
      </c>
      <c r="H50" s="3">
        <v>2</v>
      </c>
      <c r="I50" s="3">
        <v>1</v>
      </c>
      <c r="J50" s="3">
        <v>1</v>
      </c>
      <c r="K50" s="3">
        <v>98</v>
      </c>
      <c r="L50" s="3">
        <v>69</v>
      </c>
      <c r="M50" s="3">
        <v>0</v>
      </c>
      <c r="N50" s="3">
        <v>30840905</v>
      </c>
      <c r="O50" s="3">
        <v>1</v>
      </c>
    </row>
    <row r="51" spans="1:26" ht="12.75">
      <c r="A51" s="5">
        <v>1</v>
      </c>
      <c r="B51" s="5" t="s">
        <v>168</v>
      </c>
      <c r="C51" s="5" t="s">
        <v>169</v>
      </c>
      <c r="D51" s="5">
        <v>2016</v>
      </c>
      <c r="E51" s="5">
        <v>5</v>
      </c>
      <c r="F51" s="5">
        <v>1</v>
      </c>
      <c r="G51" s="5">
        <v>1</v>
      </c>
      <c r="H51" s="5">
        <v>0</v>
      </c>
      <c r="I51" s="5">
        <v>2</v>
      </c>
      <c r="J51" s="5">
        <v>1</v>
      </c>
      <c r="K51" s="5">
        <v>1</v>
      </c>
      <c r="L51" s="5">
        <v>1</v>
      </c>
      <c r="M51" s="5">
        <v>1</v>
      </c>
      <c r="N51" s="5">
        <v>1</v>
      </c>
      <c r="O51" s="5">
        <v>1</v>
      </c>
      <c r="P51" s="5">
        <v>1</v>
      </c>
      <c r="Q51" s="5">
        <v>1</v>
      </c>
      <c r="R51" s="5" t="s">
        <v>3</v>
      </c>
      <c r="S51" s="5" t="s">
        <v>3</v>
      </c>
      <c r="T51" s="5" t="s">
        <v>3</v>
      </c>
      <c r="U51" s="5" t="s">
        <v>3</v>
      </c>
      <c r="V51" s="5" t="s">
        <v>3</v>
      </c>
      <c r="W51" s="5" t="s">
        <v>3</v>
      </c>
      <c r="X51" s="5" t="s">
        <v>3</v>
      </c>
      <c r="Y51" s="5" t="s">
        <v>3</v>
      </c>
      <c r="Z51" s="5" t="s">
        <v>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B4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ROW(Source!A24)</f>
        <v>24</v>
      </c>
      <c r="B1">
        <v>30840905</v>
      </c>
      <c r="C1">
        <v>30840910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171</v>
      </c>
      <c r="K1" t="s">
        <v>172</v>
      </c>
      <c r="L1">
        <v>1191</v>
      </c>
      <c r="N1">
        <v>1013</v>
      </c>
      <c r="O1" t="s">
        <v>173</v>
      </c>
      <c r="P1" t="s">
        <v>173</v>
      </c>
      <c r="Q1">
        <v>1</v>
      </c>
      <c r="W1">
        <v>0</v>
      </c>
      <c r="X1">
        <v>946207192</v>
      </c>
      <c r="Y1">
        <v>49.1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T1">
        <v>49.1</v>
      </c>
      <c r="AV1">
        <v>1</v>
      </c>
      <c r="AW1">
        <v>2</v>
      </c>
      <c r="AX1">
        <v>30840911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172.832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ht="12.75">
      <c r="A2">
        <f>ROW(Source!A24)</f>
        <v>24</v>
      </c>
      <c r="B2">
        <v>30840905</v>
      </c>
      <c r="C2">
        <v>30840910</v>
      </c>
      <c r="D2">
        <v>0</v>
      </c>
      <c r="E2">
        <v>0</v>
      </c>
      <c r="F2">
        <v>1</v>
      </c>
      <c r="G2">
        <v>7157832</v>
      </c>
      <c r="H2">
        <v>3</v>
      </c>
      <c r="K2" t="s">
        <v>22</v>
      </c>
      <c r="L2">
        <v>1348</v>
      </c>
      <c r="N2">
        <v>1009</v>
      </c>
      <c r="O2" t="s">
        <v>23</v>
      </c>
      <c r="P2" t="s">
        <v>23</v>
      </c>
      <c r="Q2">
        <v>1000</v>
      </c>
      <c r="W2">
        <v>0</v>
      </c>
      <c r="X2">
        <v>639933046</v>
      </c>
      <c r="Y2">
        <v>4.6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0</v>
      </c>
      <c r="AP2">
        <v>0</v>
      </c>
      <c r="AQ2">
        <v>0</v>
      </c>
      <c r="AR2">
        <v>0</v>
      </c>
      <c r="AT2">
        <v>4.6</v>
      </c>
      <c r="AV2">
        <v>0</v>
      </c>
      <c r="AW2">
        <v>1</v>
      </c>
      <c r="AX2">
        <v>-1</v>
      </c>
      <c r="AY2">
        <v>0</v>
      </c>
      <c r="AZ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16.192</v>
      </c>
      <c r="CY2">
        <f>AA2</f>
        <v>0</v>
      </c>
      <c r="CZ2">
        <f>AE2</f>
        <v>0</v>
      </c>
      <c r="DA2">
        <f>AI2</f>
        <v>1</v>
      </c>
      <c r="DB2">
        <v>0</v>
      </c>
    </row>
    <row r="3" spans="1:106" ht="12.75">
      <c r="A3">
        <f>ROW(Source!A24)</f>
        <v>24</v>
      </c>
      <c r="B3">
        <v>30840905</v>
      </c>
      <c r="C3">
        <v>30840910</v>
      </c>
      <c r="D3">
        <v>7182702</v>
      </c>
      <c r="E3">
        <v>7157832</v>
      </c>
      <c r="F3">
        <v>1</v>
      </c>
      <c r="G3">
        <v>7157832</v>
      </c>
      <c r="H3">
        <v>3</v>
      </c>
      <c r="I3" t="s">
        <v>174</v>
      </c>
      <c r="K3" t="s">
        <v>22</v>
      </c>
      <c r="L3">
        <v>1348</v>
      </c>
      <c r="N3">
        <v>1009</v>
      </c>
      <c r="O3" t="s">
        <v>23</v>
      </c>
      <c r="P3" t="s">
        <v>23</v>
      </c>
      <c r="Q3">
        <v>1000</v>
      </c>
      <c r="W3">
        <v>0</v>
      </c>
      <c r="X3">
        <v>-1541367988</v>
      </c>
      <c r="Y3">
        <v>4.6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T3">
        <v>4.6</v>
      </c>
      <c r="AV3">
        <v>0</v>
      </c>
      <c r="AW3">
        <v>2</v>
      </c>
      <c r="AX3">
        <v>30840912</v>
      </c>
      <c r="AY3">
        <v>1</v>
      </c>
      <c r="AZ3">
        <v>0</v>
      </c>
      <c r="BA3">
        <v>2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16.192</v>
      </c>
      <c r="CY3">
        <f>AA3</f>
        <v>0</v>
      </c>
      <c r="CZ3">
        <f>AE3</f>
        <v>0</v>
      </c>
      <c r="DA3">
        <f>AI3</f>
        <v>1</v>
      </c>
      <c r="DB3">
        <v>0</v>
      </c>
    </row>
    <row r="4" spans="1:106" ht="12.75">
      <c r="A4">
        <f>ROW(Source!A26)</f>
        <v>26</v>
      </c>
      <c r="B4">
        <v>30840905</v>
      </c>
      <c r="C4">
        <v>30840913</v>
      </c>
      <c r="D4">
        <v>7157835</v>
      </c>
      <c r="E4">
        <v>7157832</v>
      </c>
      <c r="F4">
        <v>1</v>
      </c>
      <c r="G4">
        <v>7157832</v>
      </c>
      <c r="H4">
        <v>1</v>
      </c>
      <c r="I4" t="s">
        <v>171</v>
      </c>
      <c r="K4" t="s">
        <v>172</v>
      </c>
      <c r="L4">
        <v>1191</v>
      </c>
      <c r="N4">
        <v>1013</v>
      </c>
      <c r="O4" t="s">
        <v>173</v>
      </c>
      <c r="P4" t="s">
        <v>173</v>
      </c>
      <c r="Q4">
        <v>1</v>
      </c>
      <c r="W4">
        <v>0</v>
      </c>
      <c r="X4">
        <v>946207192</v>
      </c>
      <c r="Y4">
        <v>70.09530000000001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T4">
        <v>212.41</v>
      </c>
      <c r="AU4" t="s">
        <v>29</v>
      </c>
      <c r="AV4">
        <v>1</v>
      </c>
      <c r="AW4">
        <v>2</v>
      </c>
      <c r="AX4">
        <v>30840914</v>
      </c>
      <c r="AY4">
        <v>1</v>
      </c>
      <c r="AZ4">
        <v>0</v>
      </c>
      <c r="BA4">
        <v>3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Y4*Source!I26</f>
        <v>28.038120000000006</v>
      </c>
      <c r="CY4">
        <f>AD4</f>
        <v>0</v>
      </c>
      <c r="CZ4">
        <f>AH4</f>
        <v>0</v>
      </c>
      <c r="DA4">
        <f>AL4</f>
        <v>1</v>
      </c>
      <c r="DB4">
        <v>0</v>
      </c>
    </row>
    <row r="5" spans="1:106" ht="12.75">
      <c r="A5">
        <f>ROW(Source!A26)</f>
        <v>26</v>
      </c>
      <c r="B5">
        <v>30840905</v>
      </c>
      <c r="C5">
        <v>30840913</v>
      </c>
      <c r="D5">
        <v>7159942</v>
      </c>
      <c r="E5">
        <v>7157832</v>
      </c>
      <c r="F5">
        <v>1</v>
      </c>
      <c r="G5">
        <v>7157832</v>
      </c>
      <c r="H5">
        <v>2</v>
      </c>
      <c r="I5" t="s">
        <v>175</v>
      </c>
      <c r="K5" t="s">
        <v>176</v>
      </c>
      <c r="L5">
        <v>1344</v>
      </c>
      <c r="N5">
        <v>1008</v>
      </c>
      <c r="O5" t="s">
        <v>177</v>
      </c>
      <c r="P5" t="s">
        <v>177</v>
      </c>
      <c r="Q5">
        <v>1</v>
      </c>
      <c r="W5">
        <v>0</v>
      </c>
      <c r="X5">
        <v>-450565604</v>
      </c>
      <c r="Y5">
        <v>162.8</v>
      </c>
      <c r="AA5">
        <v>0</v>
      </c>
      <c r="AB5">
        <v>1</v>
      </c>
      <c r="AC5">
        <v>0</v>
      </c>
      <c r="AD5">
        <v>0</v>
      </c>
      <c r="AE5">
        <v>0</v>
      </c>
      <c r="AF5">
        <v>1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T5">
        <v>162.8</v>
      </c>
      <c r="AV5">
        <v>0</v>
      </c>
      <c r="AW5">
        <v>2</v>
      </c>
      <c r="AX5">
        <v>30840917</v>
      </c>
      <c r="AY5">
        <v>1</v>
      </c>
      <c r="AZ5">
        <v>0</v>
      </c>
      <c r="BA5">
        <v>4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65.12</v>
      </c>
      <c r="CY5">
        <f>AB5</f>
        <v>1</v>
      </c>
      <c r="CZ5">
        <f>AF5</f>
        <v>1</v>
      </c>
      <c r="DA5">
        <f>AJ5</f>
        <v>1</v>
      </c>
      <c r="DB5">
        <v>0</v>
      </c>
    </row>
    <row r="6" spans="1:106" ht="12.75">
      <c r="A6">
        <f>ROW(Source!A26)</f>
        <v>26</v>
      </c>
      <c r="B6">
        <v>30840905</v>
      </c>
      <c r="C6">
        <v>30840913</v>
      </c>
      <c r="D6">
        <v>7231126</v>
      </c>
      <c r="E6">
        <v>1</v>
      </c>
      <c r="F6">
        <v>1</v>
      </c>
      <c r="G6">
        <v>7157832</v>
      </c>
      <c r="H6">
        <v>2</v>
      </c>
      <c r="I6" t="s">
        <v>178</v>
      </c>
      <c r="J6" t="s">
        <v>179</v>
      </c>
      <c r="K6" t="s">
        <v>180</v>
      </c>
      <c r="L6">
        <v>1368</v>
      </c>
      <c r="N6">
        <v>1011</v>
      </c>
      <c r="O6" t="s">
        <v>181</v>
      </c>
      <c r="P6" t="s">
        <v>181</v>
      </c>
      <c r="Q6">
        <v>1</v>
      </c>
      <c r="W6">
        <v>0</v>
      </c>
      <c r="X6">
        <v>331870461</v>
      </c>
      <c r="Y6">
        <v>27.5</v>
      </c>
      <c r="AA6">
        <v>0</v>
      </c>
      <c r="AB6">
        <v>345.03</v>
      </c>
      <c r="AC6">
        <v>227.14</v>
      </c>
      <c r="AD6">
        <v>0</v>
      </c>
      <c r="AE6">
        <v>0</v>
      </c>
      <c r="AF6">
        <v>41.62</v>
      </c>
      <c r="AG6">
        <v>13.33</v>
      </c>
      <c r="AH6">
        <v>0</v>
      </c>
      <c r="AI6">
        <v>1</v>
      </c>
      <c r="AJ6">
        <v>8.29</v>
      </c>
      <c r="AK6">
        <v>17.04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T6">
        <v>27.5</v>
      </c>
      <c r="AV6">
        <v>0</v>
      </c>
      <c r="AW6">
        <v>2</v>
      </c>
      <c r="AX6">
        <v>30840915</v>
      </c>
      <c r="AY6">
        <v>1</v>
      </c>
      <c r="AZ6">
        <v>0</v>
      </c>
      <c r="BA6">
        <v>5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Y6*Source!I26</f>
        <v>11</v>
      </c>
      <c r="CY6">
        <f>AB6</f>
        <v>345.03</v>
      </c>
      <c r="CZ6">
        <f>AF6</f>
        <v>41.62</v>
      </c>
      <c r="DA6">
        <f>AJ6</f>
        <v>8.29</v>
      </c>
      <c r="DB6">
        <v>0</v>
      </c>
    </row>
    <row r="7" spans="1:106" ht="12.75">
      <c r="A7">
        <f>ROW(Source!A26)</f>
        <v>26</v>
      </c>
      <c r="B7">
        <v>30840905</v>
      </c>
      <c r="C7">
        <v>30840913</v>
      </c>
      <c r="D7">
        <v>7231489</v>
      </c>
      <c r="E7">
        <v>1</v>
      </c>
      <c r="F7">
        <v>1</v>
      </c>
      <c r="G7">
        <v>7157832</v>
      </c>
      <c r="H7">
        <v>2</v>
      </c>
      <c r="I7" t="s">
        <v>182</v>
      </c>
      <c r="J7" t="s">
        <v>183</v>
      </c>
      <c r="K7" t="s">
        <v>184</v>
      </c>
      <c r="L7">
        <v>1368</v>
      </c>
      <c r="N7">
        <v>1011</v>
      </c>
      <c r="O7" t="s">
        <v>181</v>
      </c>
      <c r="P7" t="s">
        <v>181</v>
      </c>
      <c r="Q7">
        <v>1</v>
      </c>
      <c r="W7">
        <v>0</v>
      </c>
      <c r="X7">
        <v>1080624300</v>
      </c>
      <c r="Y7">
        <v>27.5</v>
      </c>
      <c r="AA7">
        <v>0</v>
      </c>
      <c r="AB7">
        <v>4.9</v>
      </c>
      <c r="AC7">
        <v>0.68</v>
      </c>
      <c r="AD7">
        <v>0</v>
      </c>
      <c r="AE7">
        <v>0</v>
      </c>
      <c r="AF7">
        <v>3.16</v>
      </c>
      <c r="AG7">
        <v>0.04</v>
      </c>
      <c r="AH7">
        <v>0</v>
      </c>
      <c r="AI7">
        <v>1</v>
      </c>
      <c r="AJ7">
        <v>1.55</v>
      </c>
      <c r="AK7">
        <v>17.04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T7">
        <v>27.5</v>
      </c>
      <c r="AV7">
        <v>0</v>
      </c>
      <c r="AW7">
        <v>2</v>
      </c>
      <c r="AX7">
        <v>30840916</v>
      </c>
      <c r="AY7">
        <v>1</v>
      </c>
      <c r="AZ7">
        <v>0</v>
      </c>
      <c r="BA7">
        <v>6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11</v>
      </c>
      <c r="CY7">
        <f>AB7</f>
        <v>4.9</v>
      </c>
      <c r="CZ7">
        <f>AF7</f>
        <v>3.16</v>
      </c>
      <c r="DA7">
        <f>AJ7</f>
        <v>1.55</v>
      </c>
      <c r="DB7">
        <v>0</v>
      </c>
    </row>
    <row r="8" spans="1:106" ht="12.75">
      <c r="A8">
        <f>ROW(Source!A26)</f>
        <v>26</v>
      </c>
      <c r="B8">
        <v>30840905</v>
      </c>
      <c r="C8">
        <v>30840913</v>
      </c>
      <c r="D8">
        <v>0</v>
      </c>
      <c r="E8">
        <v>7157832</v>
      </c>
      <c r="F8">
        <v>1</v>
      </c>
      <c r="G8">
        <v>7157832</v>
      </c>
      <c r="H8">
        <v>3</v>
      </c>
      <c r="K8" t="s">
        <v>22</v>
      </c>
      <c r="L8">
        <v>1348</v>
      </c>
      <c r="N8">
        <v>1009</v>
      </c>
      <c r="O8" t="s">
        <v>23</v>
      </c>
      <c r="P8" t="s">
        <v>23</v>
      </c>
      <c r="Q8">
        <v>1000</v>
      </c>
      <c r="W8">
        <v>0</v>
      </c>
      <c r="X8">
        <v>639933046</v>
      </c>
      <c r="Y8">
        <v>20.61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0</v>
      </c>
      <c r="AP8">
        <v>0</v>
      </c>
      <c r="AQ8">
        <v>0</v>
      </c>
      <c r="AR8">
        <v>0</v>
      </c>
      <c r="AT8">
        <v>20.61</v>
      </c>
      <c r="AV8">
        <v>0</v>
      </c>
      <c r="AW8">
        <v>1</v>
      </c>
      <c r="AX8">
        <v>-1</v>
      </c>
      <c r="AY8">
        <v>0</v>
      </c>
      <c r="AZ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8.244</v>
      </c>
      <c r="CY8">
        <f>AA8</f>
        <v>0</v>
      </c>
      <c r="CZ8">
        <f>AE8</f>
        <v>0</v>
      </c>
      <c r="DA8">
        <f>AI8</f>
        <v>1</v>
      </c>
      <c r="DB8">
        <v>0</v>
      </c>
    </row>
    <row r="9" spans="1:106" ht="12.75">
      <c r="A9">
        <f>ROW(Source!A26)</f>
        <v>26</v>
      </c>
      <c r="B9">
        <v>30840905</v>
      </c>
      <c r="C9">
        <v>30840913</v>
      </c>
      <c r="D9">
        <v>7182702</v>
      </c>
      <c r="E9">
        <v>7157832</v>
      </c>
      <c r="F9">
        <v>1</v>
      </c>
      <c r="G9">
        <v>7157832</v>
      </c>
      <c r="H9">
        <v>3</v>
      </c>
      <c r="I9" t="s">
        <v>174</v>
      </c>
      <c r="K9" t="s">
        <v>22</v>
      </c>
      <c r="L9">
        <v>1348</v>
      </c>
      <c r="N9">
        <v>1009</v>
      </c>
      <c r="O9" t="s">
        <v>23</v>
      </c>
      <c r="P9" t="s">
        <v>23</v>
      </c>
      <c r="Q9">
        <v>1000</v>
      </c>
      <c r="W9">
        <v>0</v>
      </c>
      <c r="X9">
        <v>-1541367988</v>
      </c>
      <c r="Y9">
        <v>20.61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T9">
        <v>20.61</v>
      </c>
      <c r="AV9">
        <v>0</v>
      </c>
      <c r="AW9">
        <v>2</v>
      </c>
      <c r="AX9">
        <v>30840918</v>
      </c>
      <c r="AY9">
        <v>1</v>
      </c>
      <c r="AZ9">
        <v>0</v>
      </c>
      <c r="BA9">
        <v>7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8.244</v>
      </c>
      <c r="CY9">
        <f>AA9</f>
        <v>0</v>
      </c>
      <c r="CZ9">
        <f>AE9</f>
        <v>0</v>
      </c>
      <c r="DA9">
        <f>AI9</f>
        <v>1</v>
      </c>
      <c r="DB9">
        <v>0</v>
      </c>
    </row>
    <row r="10" spans="1:106" ht="12.75">
      <c r="A10">
        <f>ROW(Source!A28)</f>
        <v>28</v>
      </c>
      <c r="B10">
        <v>30840905</v>
      </c>
      <c r="C10">
        <v>30840990</v>
      </c>
      <c r="D10">
        <v>7159942</v>
      </c>
      <c r="E10">
        <v>7157832</v>
      </c>
      <c r="F10">
        <v>1</v>
      </c>
      <c r="G10">
        <v>7157832</v>
      </c>
      <c r="H10">
        <v>2</v>
      </c>
      <c r="I10" t="s">
        <v>175</v>
      </c>
      <c r="K10" t="s">
        <v>176</v>
      </c>
      <c r="L10">
        <v>1344</v>
      </c>
      <c r="N10">
        <v>1008</v>
      </c>
      <c r="O10" t="s">
        <v>177</v>
      </c>
      <c r="P10" t="s">
        <v>177</v>
      </c>
      <c r="Q10">
        <v>1</v>
      </c>
      <c r="W10">
        <v>0</v>
      </c>
      <c r="X10">
        <v>-450565604</v>
      </c>
      <c r="Y10">
        <v>8.86</v>
      </c>
      <c r="AA10">
        <v>0</v>
      </c>
      <c r="AB10">
        <v>1</v>
      </c>
      <c r="AC10">
        <v>0</v>
      </c>
      <c r="AD10">
        <v>0</v>
      </c>
      <c r="AE10">
        <v>0</v>
      </c>
      <c r="AF10">
        <v>1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8.86</v>
      </c>
      <c r="AV10">
        <v>0</v>
      </c>
      <c r="AW10">
        <v>2</v>
      </c>
      <c r="AX10">
        <v>30840992</v>
      </c>
      <c r="AY10">
        <v>1</v>
      </c>
      <c r="AZ10">
        <v>0</v>
      </c>
      <c r="BA10">
        <v>8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216.50295999999997</v>
      </c>
      <c r="CY10">
        <f>AB10</f>
        <v>1</v>
      </c>
      <c r="CZ10">
        <f>AF10</f>
        <v>1</v>
      </c>
      <c r="DA10">
        <f>AJ10</f>
        <v>1</v>
      </c>
      <c r="DB10">
        <v>0</v>
      </c>
    </row>
    <row r="11" spans="1:106" ht="12.75">
      <c r="A11">
        <f>ROW(Source!A30)</f>
        <v>30</v>
      </c>
      <c r="B11">
        <v>30840905</v>
      </c>
      <c r="C11">
        <v>30840919</v>
      </c>
      <c r="D11">
        <v>7157835</v>
      </c>
      <c r="E11">
        <v>7157832</v>
      </c>
      <c r="F11">
        <v>1</v>
      </c>
      <c r="G11">
        <v>7157832</v>
      </c>
      <c r="H11">
        <v>1</v>
      </c>
      <c r="I11" t="s">
        <v>171</v>
      </c>
      <c r="K11" t="s">
        <v>172</v>
      </c>
      <c r="L11">
        <v>1191</v>
      </c>
      <c r="N11">
        <v>1013</v>
      </c>
      <c r="O11" t="s">
        <v>173</v>
      </c>
      <c r="P11" t="s">
        <v>173</v>
      </c>
      <c r="Q11">
        <v>1</v>
      </c>
      <c r="W11">
        <v>0</v>
      </c>
      <c r="X11">
        <v>946207192</v>
      </c>
      <c r="Y11">
        <v>155.25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135</v>
      </c>
      <c r="AU11" t="s">
        <v>52</v>
      </c>
      <c r="AV11">
        <v>1</v>
      </c>
      <c r="AW11">
        <v>2</v>
      </c>
      <c r="AX11">
        <v>30840920</v>
      </c>
      <c r="AY11">
        <v>1</v>
      </c>
      <c r="AZ11">
        <v>0</v>
      </c>
      <c r="BA11">
        <v>9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Y11*Source!I30</f>
        <v>1.5525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ht="12.75">
      <c r="A12">
        <f>ROW(Source!A30)</f>
        <v>30</v>
      </c>
      <c r="B12">
        <v>30840905</v>
      </c>
      <c r="C12">
        <v>30840919</v>
      </c>
      <c r="D12">
        <v>7231423</v>
      </c>
      <c r="E12">
        <v>1</v>
      </c>
      <c r="F12">
        <v>1</v>
      </c>
      <c r="G12">
        <v>7157832</v>
      </c>
      <c r="H12">
        <v>2</v>
      </c>
      <c r="I12" t="s">
        <v>185</v>
      </c>
      <c r="J12" t="s">
        <v>186</v>
      </c>
      <c r="K12" t="s">
        <v>187</v>
      </c>
      <c r="L12">
        <v>1368</v>
      </c>
      <c r="N12">
        <v>1011</v>
      </c>
      <c r="O12" t="s">
        <v>181</v>
      </c>
      <c r="P12" t="s">
        <v>181</v>
      </c>
      <c r="Q12">
        <v>1</v>
      </c>
      <c r="W12">
        <v>0</v>
      </c>
      <c r="X12">
        <v>1434217347</v>
      </c>
      <c r="Y12">
        <v>0.15</v>
      </c>
      <c r="AA12">
        <v>0</v>
      </c>
      <c r="AB12">
        <v>766.17</v>
      </c>
      <c r="AC12">
        <v>335.01</v>
      </c>
      <c r="AD12">
        <v>0</v>
      </c>
      <c r="AE12">
        <v>0</v>
      </c>
      <c r="AF12">
        <v>84.66</v>
      </c>
      <c r="AG12">
        <v>19.66</v>
      </c>
      <c r="AH12">
        <v>0</v>
      </c>
      <c r="AI12">
        <v>1</v>
      </c>
      <c r="AJ12">
        <v>9.05</v>
      </c>
      <c r="AK12">
        <v>17.04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0.12</v>
      </c>
      <c r="AU12" t="s">
        <v>51</v>
      </c>
      <c r="AV12">
        <v>0</v>
      </c>
      <c r="AW12">
        <v>2</v>
      </c>
      <c r="AX12">
        <v>30840921</v>
      </c>
      <c r="AY12">
        <v>1</v>
      </c>
      <c r="AZ12">
        <v>0</v>
      </c>
      <c r="BA12">
        <v>10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Y12*Source!I30</f>
        <v>0.0015</v>
      </c>
      <c r="CY12">
        <f>AB12</f>
        <v>766.17</v>
      </c>
      <c r="CZ12">
        <f>AF12</f>
        <v>84.66</v>
      </c>
      <c r="DA12">
        <f>AJ12</f>
        <v>9.05</v>
      </c>
      <c r="DB12">
        <v>0</v>
      </c>
    </row>
    <row r="13" spans="1:106" ht="12.75">
      <c r="A13">
        <f>ROW(Source!A30)</f>
        <v>30</v>
      </c>
      <c r="B13">
        <v>30840905</v>
      </c>
      <c r="C13">
        <v>30840919</v>
      </c>
      <c r="D13">
        <v>7231062</v>
      </c>
      <c r="E13">
        <v>1</v>
      </c>
      <c r="F13">
        <v>1</v>
      </c>
      <c r="G13">
        <v>7157832</v>
      </c>
      <c r="H13">
        <v>2</v>
      </c>
      <c r="I13" t="s">
        <v>188</v>
      </c>
      <c r="J13" t="s">
        <v>189</v>
      </c>
      <c r="K13" t="s">
        <v>190</v>
      </c>
      <c r="L13">
        <v>1368</v>
      </c>
      <c r="N13">
        <v>1011</v>
      </c>
      <c r="O13" t="s">
        <v>181</v>
      </c>
      <c r="P13" t="s">
        <v>181</v>
      </c>
      <c r="Q13">
        <v>1</v>
      </c>
      <c r="W13">
        <v>0</v>
      </c>
      <c r="X13">
        <v>2029752366</v>
      </c>
      <c r="Y13">
        <v>7.4125</v>
      </c>
      <c r="AA13">
        <v>0</v>
      </c>
      <c r="AB13">
        <v>2.08</v>
      </c>
      <c r="AC13">
        <v>0.68</v>
      </c>
      <c r="AD13">
        <v>0</v>
      </c>
      <c r="AE13">
        <v>0</v>
      </c>
      <c r="AF13">
        <v>1.61</v>
      </c>
      <c r="AG13">
        <v>0.04</v>
      </c>
      <c r="AH13">
        <v>0</v>
      </c>
      <c r="AI13">
        <v>1</v>
      </c>
      <c r="AJ13">
        <v>1.29</v>
      </c>
      <c r="AK13">
        <v>17.04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5.93</v>
      </c>
      <c r="AU13" t="s">
        <v>51</v>
      </c>
      <c r="AV13">
        <v>0</v>
      </c>
      <c r="AW13">
        <v>2</v>
      </c>
      <c r="AX13">
        <v>30840922</v>
      </c>
      <c r="AY13">
        <v>1</v>
      </c>
      <c r="AZ13">
        <v>0</v>
      </c>
      <c r="BA13">
        <v>11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0.074125</v>
      </c>
      <c r="CY13">
        <f>AB13</f>
        <v>2.08</v>
      </c>
      <c r="CZ13">
        <f>AF13</f>
        <v>1.61</v>
      </c>
      <c r="DA13">
        <f>AJ13</f>
        <v>1.29</v>
      </c>
      <c r="DB13">
        <v>0</v>
      </c>
    </row>
    <row r="14" spans="1:106" ht="12.75">
      <c r="A14">
        <f>ROW(Source!A30)</f>
        <v>30</v>
      </c>
      <c r="B14">
        <v>30840905</v>
      </c>
      <c r="C14">
        <v>30840919</v>
      </c>
      <c r="D14">
        <v>7231827</v>
      </c>
      <c r="E14">
        <v>1</v>
      </c>
      <c r="F14">
        <v>1</v>
      </c>
      <c r="G14">
        <v>7157832</v>
      </c>
      <c r="H14">
        <v>3</v>
      </c>
      <c r="I14" t="s">
        <v>191</v>
      </c>
      <c r="J14" t="s">
        <v>192</v>
      </c>
      <c r="K14" t="s">
        <v>193</v>
      </c>
      <c r="L14">
        <v>1339</v>
      </c>
      <c r="N14">
        <v>1007</v>
      </c>
      <c r="O14" t="s">
        <v>59</v>
      </c>
      <c r="P14" t="s">
        <v>59</v>
      </c>
      <c r="Q14">
        <v>1</v>
      </c>
      <c r="W14">
        <v>0</v>
      </c>
      <c r="X14">
        <v>55300385</v>
      </c>
      <c r="Y14">
        <v>1.75</v>
      </c>
      <c r="AA14">
        <v>28.14</v>
      </c>
      <c r="AB14">
        <v>0</v>
      </c>
      <c r="AC14">
        <v>0</v>
      </c>
      <c r="AD14">
        <v>0</v>
      </c>
      <c r="AE14">
        <v>7.07</v>
      </c>
      <c r="AF14">
        <v>0</v>
      </c>
      <c r="AG14">
        <v>0</v>
      </c>
      <c r="AH14">
        <v>0</v>
      </c>
      <c r="AI14">
        <v>3.98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1.75</v>
      </c>
      <c r="AV14">
        <v>0</v>
      </c>
      <c r="AW14">
        <v>2</v>
      </c>
      <c r="AX14">
        <v>30840923</v>
      </c>
      <c r="AY14">
        <v>1</v>
      </c>
      <c r="AZ14">
        <v>0</v>
      </c>
      <c r="BA14">
        <v>12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0.0175</v>
      </c>
      <c r="CY14">
        <f>AA14</f>
        <v>28.14</v>
      </c>
      <c r="CZ14">
        <f>AE14</f>
        <v>7.07</v>
      </c>
      <c r="DA14">
        <f>AI14</f>
        <v>3.98</v>
      </c>
      <c r="DB14">
        <v>0</v>
      </c>
    </row>
    <row r="15" spans="1:106" ht="12.75">
      <c r="A15">
        <f>ROW(Source!A30)</f>
        <v>30</v>
      </c>
      <c r="B15">
        <v>30840905</v>
      </c>
      <c r="C15">
        <v>30840919</v>
      </c>
      <c r="D15">
        <v>7232363</v>
      </c>
      <c r="E15">
        <v>1</v>
      </c>
      <c r="F15">
        <v>1</v>
      </c>
      <c r="G15">
        <v>7157832</v>
      </c>
      <c r="H15">
        <v>3</v>
      </c>
      <c r="I15" t="s">
        <v>194</v>
      </c>
      <c r="J15" t="s">
        <v>195</v>
      </c>
      <c r="K15" t="s">
        <v>196</v>
      </c>
      <c r="L15">
        <v>1327</v>
      </c>
      <c r="N15">
        <v>1005</v>
      </c>
      <c r="O15" t="s">
        <v>197</v>
      </c>
      <c r="P15" t="s">
        <v>197</v>
      </c>
      <c r="Q15">
        <v>1</v>
      </c>
      <c r="W15">
        <v>0</v>
      </c>
      <c r="X15">
        <v>1469808582</v>
      </c>
      <c r="Y15">
        <v>250</v>
      </c>
      <c r="AA15">
        <v>28.38</v>
      </c>
      <c r="AB15">
        <v>0</v>
      </c>
      <c r="AC15">
        <v>0</v>
      </c>
      <c r="AD15">
        <v>0</v>
      </c>
      <c r="AE15">
        <v>7.39</v>
      </c>
      <c r="AF15">
        <v>0</v>
      </c>
      <c r="AG15">
        <v>0</v>
      </c>
      <c r="AH15">
        <v>0</v>
      </c>
      <c r="AI15">
        <v>3.84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250</v>
      </c>
      <c r="AV15">
        <v>0</v>
      </c>
      <c r="AW15">
        <v>2</v>
      </c>
      <c r="AX15">
        <v>30840924</v>
      </c>
      <c r="AY15">
        <v>1</v>
      </c>
      <c r="AZ15">
        <v>0</v>
      </c>
      <c r="BA15">
        <v>13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2.5</v>
      </c>
      <c r="CY15">
        <f>AA15</f>
        <v>28.38</v>
      </c>
      <c r="CZ15">
        <f>AE15</f>
        <v>7.39</v>
      </c>
      <c r="DA15">
        <f>AI15</f>
        <v>3.84</v>
      </c>
      <c r="DB15">
        <v>0</v>
      </c>
    </row>
    <row r="16" spans="1:106" ht="12.75">
      <c r="A16">
        <f>ROW(Source!A30)</f>
        <v>30</v>
      </c>
      <c r="B16">
        <v>30840905</v>
      </c>
      <c r="C16">
        <v>30840919</v>
      </c>
      <c r="D16">
        <v>7234874</v>
      </c>
      <c r="E16">
        <v>1</v>
      </c>
      <c r="F16">
        <v>1</v>
      </c>
      <c r="G16">
        <v>7157832</v>
      </c>
      <c r="H16">
        <v>3</v>
      </c>
      <c r="I16" t="s">
        <v>57</v>
      </c>
      <c r="J16" t="s">
        <v>60</v>
      </c>
      <c r="K16" t="s">
        <v>58</v>
      </c>
      <c r="L16">
        <v>1339</v>
      </c>
      <c r="N16">
        <v>1007</v>
      </c>
      <c r="O16" t="s">
        <v>59</v>
      </c>
      <c r="P16" t="s">
        <v>59</v>
      </c>
      <c r="Q16">
        <v>1</v>
      </c>
      <c r="W16">
        <v>0</v>
      </c>
      <c r="X16">
        <v>-193017344</v>
      </c>
      <c r="Y16">
        <v>102</v>
      </c>
      <c r="AA16">
        <v>3207.25</v>
      </c>
      <c r="AB16">
        <v>0</v>
      </c>
      <c r="AC16">
        <v>0</v>
      </c>
      <c r="AD16">
        <v>0</v>
      </c>
      <c r="AE16">
        <v>704.89</v>
      </c>
      <c r="AF16">
        <v>0</v>
      </c>
      <c r="AG16">
        <v>0</v>
      </c>
      <c r="AH16">
        <v>0</v>
      </c>
      <c r="AI16">
        <v>4.55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T16">
        <v>102</v>
      </c>
      <c r="AV16">
        <v>0</v>
      </c>
      <c r="AW16">
        <v>1</v>
      </c>
      <c r="AX16">
        <v>-1</v>
      </c>
      <c r="AY16">
        <v>0</v>
      </c>
      <c r="AZ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1.02</v>
      </c>
      <c r="CY16">
        <f>AA16</f>
        <v>3207.25</v>
      </c>
      <c r="CZ16">
        <f>AE16</f>
        <v>704.89</v>
      </c>
      <c r="DA16">
        <f>AI16</f>
        <v>4.55</v>
      </c>
      <c r="DB16">
        <v>0</v>
      </c>
    </row>
    <row r="17" spans="1:106" ht="12.75">
      <c r="A17">
        <f>ROW(Source!A32)</f>
        <v>32</v>
      </c>
      <c r="B17">
        <v>30840905</v>
      </c>
      <c r="C17">
        <v>30840927</v>
      </c>
      <c r="D17">
        <v>7157835</v>
      </c>
      <c r="E17">
        <v>7157832</v>
      </c>
      <c r="F17">
        <v>1</v>
      </c>
      <c r="G17">
        <v>7157832</v>
      </c>
      <c r="H17">
        <v>1</v>
      </c>
      <c r="I17" t="s">
        <v>171</v>
      </c>
      <c r="K17" t="s">
        <v>172</v>
      </c>
      <c r="L17">
        <v>1191</v>
      </c>
      <c r="N17">
        <v>1013</v>
      </c>
      <c r="O17" t="s">
        <v>173</v>
      </c>
      <c r="P17" t="s">
        <v>173</v>
      </c>
      <c r="Q17">
        <v>1</v>
      </c>
      <c r="W17">
        <v>0</v>
      </c>
      <c r="X17">
        <v>946207192</v>
      </c>
      <c r="Y17">
        <v>13.339999999999998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11.6</v>
      </c>
      <c r="AU17" t="s">
        <v>52</v>
      </c>
      <c r="AV17">
        <v>1</v>
      </c>
      <c r="AW17">
        <v>2</v>
      </c>
      <c r="AX17">
        <v>30840997</v>
      </c>
      <c r="AY17">
        <v>1</v>
      </c>
      <c r="AZ17">
        <v>0</v>
      </c>
      <c r="BA17">
        <v>15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Y17*Source!I32</f>
        <v>0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ht="12.75">
      <c r="A18">
        <f>ROW(Source!A32)</f>
        <v>32</v>
      </c>
      <c r="B18">
        <v>30840905</v>
      </c>
      <c r="C18">
        <v>30840927</v>
      </c>
      <c r="D18">
        <v>7231421</v>
      </c>
      <c r="E18">
        <v>1</v>
      </c>
      <c r="F18">
        <v>1</v>
      </c>
      <c r="G18">
        <v>7157832</v>
      </c>
      <c r="H18">
        <v>2</v>
      </c>
      <c r="I18" t="s">
        <v>198</v>
      </c>
      <c r="J18" t="s">
        <v>199</v>
      </c>
      <c r="K18" t="s">
        <v>200</v>
      </c>
      <c r="L18">
        <v>1368</v>
      </c>
      <c r="N18">
        <v>1011</v>
      </c>
      <c r="O18" t="s">
        <v>181</v>
      </c>
      <c r="P18" t="s">
        <v>181</v>
      </c>
      <c r="Q18">
        <v>1</v>
      </c>
      <c r="W18">
        <v>0</v>
      </c>
      <c r="X18">
        <v>-1289262214</v>
      </c>
      <c r="Y18">
        <v>0.25</v>
      </c>
      <c r="AA18">
        <v>0</v>
      </c>
      <c r="AB18">
        <v>666.24</v>
      </c>
      <c r="AC18">
        <v>299.73</v>
      </c>
      <c r="AD18">
        <v>0</v>
      </c>
      <c r="AE18">
        <v>0</v>
      </c>
      <c r="AF18">
        <v>74.44</v>
      </c>
      <c r="AG18">
        <v>17.59</v>
      </c>
      <c r="AH18">
        <v>0</v>
      </c>
      <c r="AI18">
        <v>1</v>
      </c>
      <c r="AJ18">
        <v>8.95</v>
      </c>
      <c r="AK18">
        <v>17.04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0.2</v>
      </c>
      <c r="AU18" t="s">
        <v>51</v>
      </c>
      <c r="AV18">
        <v>0</v>
      </c>
      <c r="AW18">
        <v>2</v>
      </c>
      <c r="AX18">
        <v>30840998</v>
      </c>
      <c r="AY18">
        <v>1</v>
      </c>
      <c r="AZ18">
        <v>0</v>
      </c>
      <c r="BA18">
        <v>16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Y18*Source!I32</f>
        <v>0</v>
      </c>
      <c r="CY18">
        <f>AB18</f>
        <v>666.24</v>
      </c>
      <c r="CZ18">
        <f>AF18</f>
        <v>74.44</v>
      </c>
      <c r="DA18">
        <f>AJ18</f>
        <v>8.95</v>
      </c>
      <c r="DB18">
        <v>0</v>
      </c>
    </row>
    <row r="19" spans="1:106" ht="12.75">
      <c r="A19">
        <f>ROW(Source!A32)</f>
        <v>32</v>
      </c>
      <c r="B19">
        <v>30840905</v>
      </c>
      <c r="C19">
        <v>30840927</v>
      </c>
      <c r="D19">
        <v>7230811</v>
      </c>
      <c r="E19">
        <v>1</v>
      </c>
      <c r="F19">
        <v>1</v>
      </c>
      <c r="G19">
        <v>7157832</v>
      </c>
      <c r="H19">
        <v>2</v>
      </c>
      <c r="I19" t="s">
        <v>201</v>
      </c>
      <c r="J19" t="s">
        <v>202</v>
      </c>
      <c r="K19" t="s">
        <v>203</v>
      </c>
      <c r="L19">
        <v>1368</v>
      </c>
      <c r="N19">
        <v>1011</v>
      </c>
      <c r="O19" t="s">
        <v>181</v>
      </c>
      <c r="P19" t="s">
        <v>181</v>
      </c>
      <c r="Q19">
        <v>1</v>
      </c>
      <c r="W19">
        <v>0</v>
      </c>
      <c r="X19">
        <v>1373649140</v>
      </c>
      <c r="Y19">
        <v>0.1875</v>
      </c>
      <c r="AA19">
        <v>0</v>
      </c>
      <c r="AB19">
        <v>798.5</v>
      </c>
      <c r="AC19">
        <v>511.71</v>
      </c>
      <c r="AD19">
        <v>0</v>
      </c>
      <c r="AE19">
        <v>0</v>
      </c>
      <c r="AF19">
        <v>102.11</v>
      </c>
      <c r="AG19">
        <v>30.03</v>
      </c>
      <c r="AH19">
        <v>0</v>
      </c>
      <c r="AI19">
        <v>1</v>
      </c>
      <c r="AJ19">
        <v>7.82</v>
      </c>
      <c r="AK19">
        <v>17.04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0.15</v>
      </c>
      <c r="AU19" t="s">
        <v>51</v>
      </c>
      <c r="AV19">
        <v>0</v>
      </c>
      <c r="AW19">
        <v>2</v>
      </c>
      <c r="AX19">
        <v>30840999</v>
      </c>
      <c r="AY19">
        <v>1</v>
      </c>
      <c r="AZ19">
        <v>0</v>
      </c>
      <c r="BA19">
        <v>17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0</v>
      </c>
      <c r="CY19">
        <f>AB19</f>
        <v>798.5</v>
      </c>
      <c r="CZ19">
        <f>AF19</f>
        <v>102.11</v>
      </c>
      <c r="DA19">
        <f>AJ19</f>
        <v>7.82</v>
      </c>
      <c r="DB19">
        <v>0</v>
      </c>
    </row>
    <row r="20" spans="1:106" ht="12.75">
      <c r="A20">
        <f>ROW(Source!A32)</f>
        <v>32</v>
      </c>
      <c r="B20">
        <v>30840905</v>
      </c>
      <c r="C20">
        <v>30840927</v>
      </c>
      <c r="D20">
        <v>7232639</v>
      </c>
      <c r="E20">
        <v>1</v>
      </c>
      <c r="F20">
        <v>1</v>
      </c>
      <c r="G20">
        <v>7157832</v>
      </c>
      <c r="H20">
        <v>3</v>
      </c>
      <c r="I20" t="s">
        <v>204</v>
      </c>
      <c r="J20" t="s">
        <v>205</v>
      </c>
      <c r="K20" t="s">
        <v>206</v>
      </c>
      <c r="L20">
        <v>1348</v>
      </c>
      <c r="N20">
        <v>1009</v>
      </c>
      <c r="O20" t="s">
        <v>23</v>
      </c>
      <c r="P20" t="s">
        <v>23</v>
      </c>
      <c r="Q20">
        <v>1000</v>
      </c>
      <c r="W20">
        <v>0</v>
      </c>
      <c r="X20">
        <v>-1245052874</v>
      </c>
      <c r="Y20">
        <v>0.028</v>
      </c>
      <c r="AA20">
        <v>32549.3</v>
      </c>
      <c r="AB20">
        <v>0</v>
      </c>
      <c r="AC20">
        <v>0</v>
      </c>
      <c r="AD20">
        <v>0</v>
      </c>
      <c r="AE20">
        <v>9246.96</v>
      </c>
      <c r="AF20">
        <v>0</v>
      </c>
      <c r="AG20">
        <v>0</v>
      </c>
      <c r="AH20">
        <v>0</v>
      </c>
      <c r="AI20">
        <v>3.52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0.028</v>
      </c>
      <c r="AV20">
        <v>0</v>
      </c>
      <c r="AW20">
        <v>2</v>
      </c>
      <c r="AX20">
        <v>30841001</v>
      </c>
      <c r="AY20">
        <v>1</v>
      </c>
      <c r="AZ20">
        <v>0</v>
      </c>
      <c r="BA20">
        <v>19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0</v>
      </c>
      <c r="CY20">
        <f>AA20</f>
        <v>32549.3</v>
      </c>
      <c r="CZ20">
        <f>AE20</f>
        <v>9246.96</v>
      </c>
      <c r="DA20">
        <f>AI20</f>
        <v>3.52</v>
      </c>
      <c r="DB20">
        <v>0</v>
      </c>
    </row>
    <row r="21" spans="1:106" ht="12.75">
      <c r="A21">
        <f>ROW(Source!A32)</f>
        <v>32</v>
      </c>
      <c r="B21">
        <v>30840905</v>
      </c>
      <c r="C21">
        <v>30840927</v>
      </c>
      <c r="D21">
        <v>7235150</v>
      </c>
      <c r="E21">
        <v>1</v>
      </c>
      <c r="F21">
        <v>1</v>
      </c>
      <c r="G21">
        <v>7157832</v>
      </c>
      <c r="H21">
        <v>3</v>
      </c>
      <c r="I21" t="s">
        <v>66</v>
      </c>
      <c r="J21" t="s">
        <v>68</v>
      </c>
      <c r="K21" t="s">
        <v>67</v>
      </c>
      <c r="L21">
        <v>1348</v>
      </c>
      <c r="N21">
        <v>1009</v>
      </c>
      <c r="O21" t="s">
        <v>23</v>
      </c>
      <c r="P21" t="s">
        <v>23</v>
      </c>
      <c r="Q21">
        <v>1000</v>
      </c>
      <c r="W21">
        <v>0</v>
      </c>
      <c r="X21">
        <v>209325351</v>
      </c>
      <c r="Y21">
        <v>0.055</v>
      </c>
      <c r="AA21">
        <v>39895.56</v>
      </c>
      <c r="AB21">
        <v>0</v>
      </c>
      <c r="AC21">
        <v>0</v>
      </c>
      <c r="AD21">
        <v>0</v>
      </c>
      <c r="AE21">
        <v>6263.04</v>
      </c>
      <c r="AF21">
        <v>0</v>
      </c>
      <c r="AG21">
        <v>0</v>
      </c>
      <c r="AH21">
        <v>0</v>
      </c>
      <c r="AI21">
        <v>6.37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T21">
        <v>0.055</v>
      </c>
      <c r="AV21">
        <v>0</v>
      </c>
      <c r="AW21">
        <v>1</v>
      </c>
      <c r="AX21">
        <v>-1</v>
      </c>
      <c r="AY21">
        <v>0</v>
      </c>
      <c r="AZ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0</v>
      </c>
      <c r="CY21">
        <f>AA21</f>
        <v>39895.56</v>
      </c>
      <c r="CZ21">
        <f>AE21</f>
        <v>6263.04</v>
      </c>
      <c r="DA21">
        <f>AI21</f>
        <v>6.37</v>
      </c>
      <c r="DB21">
        <v>0</v>
      </c>
    </row>
    <row r="22" spans="1:106" ht="12.75">
      <c r="A22">
        <f>ROW(Source!A34)</f>
        <v>34</v>
      </c>
      <c r="B22">
        <v>30840905</v>
      </c>
      <c r="C22">
        <v>30840934</v>
      </c>
      <c r="D22">
        <v>7157835</v>
      </c>
      <c r="E22">
        <v>7157832</v>
      </c>
      <c r="F22">
        <v>1</v>
      </c>
      <c r="G22">
        <v>7157832</v>
      </c>
      <c r="H22">
        <v>1</v>
      </c>
      <c r="I22" t="s">
        <v>171</v>
      </c>
      <c r="K22" t="s">
        <v>172</v>
      </c>
      <c r="L22">
        <v>1191</v>
      </c>
      <c r="N22">
        <v>1013</v>
      </c>
      <c r="O22" t="s">
        <v>173</v>
      </c>
      <c r="P22" t="s">
        <v>173</v>
      </c>
      <c r="Q22">
        <v>1</v>
      </c>
      <c r="W22">
        <v>0</v>
      </c>
      <c r="X22">
        <v>946207192</v>
      </c>
      <c r="Y22">
        <v>5.220999999999999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4.54</v>
      </c>
      <c r="AU22" t="s">
        <v>52</v>
      </c>
      <c r="AV22">
        <v>1</v>
      </c>
      <c r="AW22">
        <v>2</v>
      </c>
      <c r="AX22">
        <v>30840935</v>
      </c>
      <c r="AY22">
        <v>1</v>
      </c>
      <c r="AZ22">
        <v>0</v>
      </c>
      <c r="BA22">
        <v>20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Y22*Source!I34</f>
        <v>20.883999999999997</v>
      </c>
      <c r="CY22">
        <f>AD22</f>
        <v>0</v>
      </c>
      <c r="CZ22">
        <f>AH22</f>
        <v>0</v>
      </c>
      <c r="DA22">
        <f>AL22</f>
        <v>1</v>
      </c>
      <c r="DB22">
        <v>0</v>
      </c>
    </row>
    <row r="23" spans="1:106" ht="12.75">
      <c r="A23">
        <f>ROW(Source!A34)</f>
        <v>34</v>
      </c>
      <c r="B23">
        <v>30840905</v>
      </c>
      <c r="C23">
        <v>30840934</v>
      </c>
      <c r="D23">
        <v>7231827</v>
      </c>
      <c r="E23">
        <v>1</v>
      </c>
      <c r="F23">
        <v>1</v>
      </c>
      <c r="G23">
        <v>7157832</v>
      </c>
      <c r="H23">
        <v>3</v>
      </c>
      <c r="I23" t="s">
        <v>191</v>
      </c>
      <c r="J23" t="s">
        <v>192</v>
      </c>
      <c r="K23" t="s">
        <v>193</v>
      </c>
      <c r="L23">
        <v>1339</v>
      </c>
      <c r="N23">
        <v>1007</v>
      </c>
      <c r="O23" t="s">
        <v>59</v>
      </c>
      <c r="P23" t="s">
        <v>59</v>
      </c>
      <c r="Q23">
        <v>1</v>
      </c>
      <c r="W23">
        <v>0</v>
      </c>
      <c r="X23">
        <v>55300385</v>
      </c>
      <c r="Y23">
        <v>0.44</v>
      </c>
      <c r="AA23">
        <v>28.14</v>
      </c>
      <c r="AB23">
        <v>0</v>
      </c>
      <c r="AC23">
        <v>0</v>
      </c>
      <c r="AD23">
        <v>0</v>
      </c>
      <c r="AE23">
        <v>7.07</v>
      </c>
      <c r="AF23">
        <v>0</v>
      </c>
      <c r="AG23">
        <v>0</v>
      </c>
      <c r="AH23">
        <v>0</v>
      </c>
      <c r="AI23">
        <v>3.98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0.44</v>
      </c>
      <c r="AV23">
        <v>0</v>
      </c>
      <c r="AW23">
        <v>2</v>
      </c>
      <c r="AX23">
        <v>30840936</v>
      </c>
      <c r="AY23">
        <v>1</v>
      </c>
      <c r="AZ23">
        <v>0</v>
      </c>
      <c r="BA23">
        <v>21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Y23*Source!I34</f>
        <v>1.76</v>
      </c>
      <c r="CY23">
        <f>AA23</f>
        <v>28.14</v>
      </c>
      <c r="CZ23">
        <f>AE23</f>
        <v>7.07</v>
      </c>
      <c r="DA23">
        <f>AI23</f>
        <v>3.98</v>
      </c>
      <c r="DB23">
        <v>0</v>
      </c>
    </row>
    <row r="24" spans="1:106" ht="12.75">
      <c r="A24">
        <f>ROW(Source!A34)</f>
        <v>34</v>
      </c>
      <c r="B24">
        <v>30840905</v>
      </c>
      <c r="C24">
        <v>30840934</v>
      </c>
      <c r="D24">
        <v>7232075</v>
      </c>
      <c r="E24">
        <v>1</v>
      </c>
      <c r="F24">
        <v>1</v>
      </c>
      <c r="G24">
        <v>7157832</v>
      </c>
      <c r="H24">
        <v>3</v>
      </c>
      <c r="I24" t="s">
        <v>76</v>
      </c>
      <c r="J24" t="s">
        <v>79</v>
      </c>
      <c r="K24" t="s">
        <v>77</v>
      </c>
      <c r="L24">
        <v>1356</v>
      </c>
      <c r="N24">
        <v>1010</v>
      </c>
      <c r="O24" t="s">
        <v>78</v>
      </c>
      <c r="P24" t="s">
        <v>78</v>
      </c>
      <c r="Q24">
        <v>1000</v>
      </c>
      <c r="W24">
        <v>0</v>
      </c>
      <c r="X24">
        <v>1425145694</v>
      </c>
      <c r="Y24">
        <v>0.38</v>
      </c>
      <c r="AA24">
        <v>9694.58</v>
      </c>
      <c r="AB24">
        <v>0</v>
      </c>
      <c r="AC24">
        <v>0</v>
      </c>
      <c r="AD24">
        <v>0</v>
      </c>
      <c r="AE24">
        <v>1043.55</v>
      </c>
      <c r="AF24">
        <v>0</v>
      </c>
      <c r="AG24">
        <v>0</v>
      </c>
      <c r="AH24">
        <v>0</v>
      </c>
      <c r="AI24">
        <v>9.29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T24">
        <v>0.38</v>
      </c>
      <c r="AV24">
        <v>0</v>
      </c>
      <c r="AW24">
        <v>1</v>
      </c>
      <c r="AX24">
        <v>-1</v>
      </c>
      <c r="AY24">
        <v>0</v>
      </c>
      <c r="AZ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Y24*Source!I34</f>
        <v>1.52</v>
      </c>
      <c r="CY24">
        <f>AA24</f>
        <v>9694.58</v>
      </c>
      <c r="CZ24">
        <f>AE24</f>
        <v>1043.55</v>
      </c>
      <c r="DA24">
        <f>AI24</f>
        <v>9.29</v>
      </c>
      <c r="DB24">
        <v>0</v>
      </c>
    </row>
    <row r="25" spans="1:106" ht="12.75">
      <c r="A25">
        <f>ROW(Source!A34)</f>
        <v>34</v>
      </c>
      <c r="B25">
        <v>30840905</v>
      </c>
      <c r="C25">
        <v>30840934</v>
      </c>
      <c r="D25">
        <v>7231794</v>
      </c>
      <c r="E25">
        <v>1</v>
      </c>
      <c r="F25">
        <v>1</v>
      </c>
      <c r="G25">
        <v>7157832</v>
      </c>
      <c r="H25">
        <v>3</v>
      </c>
      <c r="I25" t="s">
        <v>207</v>
      </c>
      <c r="J25" t="s">
        <v>208</v>
      </c>
      <c r="K25" t="s">
        <v>209</v>
      </c>
      <c r="L25">
        <v>1339</v>
      </c>
      <c r="N25">
        <v>1007</v>
      </c>
      <c r="O25" t="s">
        <v>59</v>
      </c>
      <c r="P25" t="s">
        <v>59</v>
      </c>
      <c r="Q25">
        <v>1</v>
      </c>
      <c r="W25">
        <v>0</v>
      </c>
      <c r="X25">
        <v>441764122</v>
      </c>
      <c r="Y25">
        <v>0.0005</v>
      </c>
      <c r="AA25">
        <v>5364.52</v>
      </c>
      <c r="AB25">
        <v>0</v>
      </c>
      <c r="AC25">
        <v>0</v>
      </c>
      <c r="AD25">
        <v>0</v>
      </c>
      <c r="AE25">
        <v>2472.13</v>
      </c>
      <c r="AF25">
        <v>0</v>
      </c>
      <c r="AG25">
        <v>0</v>
      </c>
      <c r="AH25">
        <v>0</v>
      </c>
      <c r="AI25">
        <v>2.17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0.0005</v>
      </c>
      <c r="AV25">
        <v>0</v>
      </c>
      <c r="AW25">
        <v>2</v>
      </c>
      <c r="AX25">
        <v>30840937</v>
      </c>
      <c r="AY25">
        <v>1</v>
      </c>
      <c r="AZ25">
        <v>0</v>
      </c>
      <c r="BA25">
        <v>22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Y25*Source!I34</f>
        <v>0.002</v>
      </c>
      <c r="CY25">
        <f>AA25</f>
        <v>5364.52</v>
      </c>
      <c r="CZ25">
        <f>AE25</f>
        <v>2472.13</v>
      </c>
      <c r="DA25">
        <f>AI25</f>
        <v>2.17</v>
      </c>
      <c r="DB25">
        <v>0</v>
      </c>
    </row>
    <row r="26" spans="1:106" ht="12.75">
      <c r="A26">
        <f>ROW(Source!A34)</f>
        <v>34</v>
      </c>
      <c r="B26">
        <v>30840905</v>
      </c>
      <c r="C26">
        <v>30840934</v>
      </c>
      <c r="D26">
        <v>7234973</v>
      </c>
      <c r="E26">
        <v>1</v>
      </c>
      <c r="F26">
        <v>1</v>
      </c>
      <c r="G26">
        <v>7157832</v>
      </c>
      <c r="H26">
        <v>3</v>
      </c>
      <c r="I26" t="s">
        <v>81</v>
      </c>
      <c r="J26" t="s">
        <v>83</v>
      </c>
      <c r="K26" t="s">
        <v>82</v>
      </c>
      <c r="L26">
        <v>1339</v>
      </c>
      <c r="N26">
        <v>1007</v>
      </c>
      <c r="O26" t="s">
        <v>59</v>
      </c>
      <c r="P26" t="s">
        <v>59</v>
      </c>
      <c r="Q26">
        <v>1</v>
      </c>
      <c r="W26">
        <v>0</v>
      </c>
      <c r="X26">
        <v>62111432</v>
      </c>
      <c r="Y26">
        <v>0.24</v>
      </c>
      <c r="AA26">
        <v>3300.49</v>
      </c>
      <c r="AB26">
        <v>0</v>
      </c>
      <c r="AC26">
        <v>0</v>
      </c>
      <c r="AD26">
        <v>0</v>
      </c>
      <c r="AE26">
        <v>477.64</v>
      </c>
      <c r="AF26">
        <v>0</v>
      </c>
      <c r="AG26">
        <v>0</v>
      </c>
      <c r="AH26">
        <v>0</v>
      </c>
      <c r="AI26">
        <v>6.91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T26">
        <v>0.24</v>
      </c>
      <c r="AV26">
        <v>0</v>
      </c>
      <c r="AW26">
        <v>1</v>
      </c>
      <c r="AX26">
        <v>-1</v>
      </c>
      <c r="AY26">
        <v>0</v>
      </c>
      <c r="AZ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Y26*Source!I34</f>
        <v>0.96</v>
      </c>
      <c r="CY26">
        <f>AA26</f>
        <v>3300.49</v>
      </c>
      <c r="CZ26">
        <f>AE26</f>
        <v>477.64</v>
      </c>
      <c r="DA26">
        <f>AI26</f>
        <v>6.91</v>
      </c>
      <c r="DB26">
        <v>0</v>
      </c>
    </row>
    <row r="27" spans="1:106" ht="12.75">
      <c r="A27">
        <f>ROW(Source!A37)</f>
        <v>37</v>
      </c>
      <c r="B27">
        <v>30840905</v>
      </c>
      <c r="C27">
        <v>30840942</v>
      </c>
      <c r="D27">
        <v>7157835</v>
      </c>
      <c r="E27">
        <v>7157832</v>
      </c>
      <c r="F27">
        <v>1</v>
      </c>
      <c r="G27">
        <v>7157832</v>
      </c>
      <c r="H27">
        <v>1</v>
      </c>
      <c r="I27" t="s">
        <v>171</v>
      </c>
      <c r="K27" t="s">
        <v>172</v>
      </c>
      <c r="L27">
        <v>1191</v>
      </c>
      <c r="N27">
        <v>1013</v>
      </c>
      <c r="O27" t="s">
        <v>173</v>
      </c>
      <c r="P27" t="s">
        <v>173</v>
      </c>
      <c r="Q27">
        <v>1</v>
      </c>
      <c r="W27">
        <v>0</v>
      </c>
      <c r="X27">
        <v>946207192</v>
      </c>
      <c r="Y27">
        <v>152.95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133</v>
      </c>
      <c r="AU27" t="s">
        <v>52</v>
      </c>
      <c r="AV27">
        <v>1</v>
      </c>
      <c r="AW27">
        <v>2</v>
      </c>
      <c r="AX27">
        <v>30840943</v>
      </c>
      <c r="AY27">
        <v>1</v>
      </c>
      <c r="AZ27">
        <v>0</v>
      </c>
      <c r="BA27">
        <v>25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Y27*Source!I37</f>
        <v>538.384</v>
      </c>
      <c r="CY27">
        <f>AD27</f>
        <v>0</v>
      </c>
      <c r="CZ27">
        <f>AH27</f>
        <v>0</v>
      </c>
      <c r="DA27">
        <f>AL27</f>
        <v>1</v>
      </c>
      <c r="DB27">
        <v>0</v>
      </c>
    </row>
    <row r="28" spans="1:106" ht="12.75">
      <c r="A28">
        <f>ROW(Source!A37)</f>
        <v>37</v>
      </c>
      <c r="B28">
        <v>30840905</v>
      </c>
      <c r="C28">
        <v>30840942</v>
      </c>
      <c r="D28">
        <v>7159942</v>
      </c>
      <c r="E28">
        <v>7157832</v>
      </c>
      <c r="F28">
        <v>1</v>
      </c>
      <c r="G28">
        <v>7157832</v>
      </c>
      <c r="H28">
        <v>2</v>
      </c>
      <c r="I28" t="s">
        <v>175</v>
      </c>
      <c r="K28" t="s">
        <v>176</v>
      </c>
      <c r="L28">
        <v>1344</v>
      </c>
      <c r="N28">
        <v>1008</v>
      </c>
      <c r="O28" t="s">
        <v>177</v>
      </c>
      <c r="P28" t="s">
        <v>177</v>
      </c>
      <c r="Q28">
        <v>1</v>
      </c>
      <c r="W28">
        <v>0</v>
      </c>
      <c r="X28">
        <v>-450565604</v>
      </c>
      <c r="Y28">
        <v>333.8125</v>
      </c>
      <c r="AA28">
        <v>0</v>
      </c>
      <c r="AB28">
        <v>1</v>
      </c>
      <c r="AC28">
        <v>0</v>
      </c>
      <c r="AD28">
        <v>0</v>
      </c>
      <c r="AE28">
        <v>0</v>
      </c>
      <c r="AF28">
        <v>1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267.05</v>
      </c>
      <c r="AU28" t="s">
        <v>51</v>
      </c>
      <c r="AV28">
        <v>0</v>
      </c>
      <c r="AW28">
        <v>2</v>
      </c>
      <c r="AX28">
        <v>30840944</v>
      </c>
      <c r="AY28">
        <v>1</v>
      </c>
      <c r="AZ28">
        <v>0</v>
      </c>
      <c r="BA28">
        <v>26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Y28*Source!I37</f>
        <v>1175.02</v>
      </c>
      <c r="CY28">
        <f>AB28</f>
        <v>1</v>
      </c>
      <c r="CZ28">
        <f>AF28</f>
        <v>1</v>
      </c>
      <c r="DA28">
        <f>AJ28</f>
        <v>1</v>
      </c>
      <c r="DB28">
        <v>0</v>
      </c>
    </row>
    <row r="29" spans="1:106" ht="12.75">
      <c r="A29">
        <f>ROW(Source!A37)</f>
        <v>37</v>
      </c>
      <c r="B29">
        <v>30840905</v>
      </c>
      <c r="C29">
        <v>30840942</v>
      </c>
      <c r="D29">
        <v>7182707</v>
      </c>
      <c r="E29">
        <v>7157832</v>
      </c>
      <c r="F29">
        <v>1</v>
      </c>
      <c r="G29">
        <v>7157832</v>
      </c>
      <c r="H29">
        <v>3</v>
      </c>
      <c r="I29" t="s">
        <v>174</v>
      </c>
      <c r="K29" t="s">
        <v>210</v>
      </c>
      <c r="L29">
        <v>1344</v>
      </c>
      <c r="N29">
        <v>1008</v>
      </c>
      <c r="O29" t="s">
        <v>177</v>
      </c>
      <c r="P29" t="s">
        <v>177</v>
      </c>
      <c r="Q29">
        <v>1</v>
      </c>
      <c r="W29">
        <v>0</v>
      </c>
      <c r="X29">
        <v>-360884371</v>
      </c>
      <c r="Y29">
        <v>3</v>
      </c>
      <c r="AA29">
        <v>1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3</v>
      </c>
      <c r="AV29">
        <v>0</v>
      </c>
      <c r="AW29">
        <v>2</v>
      </c>
      <c r="AX29">
        <v>30840951</v>
      </c>
      <c r="AY29">
        <v>1</v>
      </c>
      <c r="AZ29">
        <v>0</v>
      </c>
      <c r="BA29">
        <v>27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Y29*Source!I37</f>
        <v>10.56</v>
      </c>
      <c r="CY29">
        <f aca="true" t="shared" si="0" ref="CY29:CY34">AA29</f>
        <v>1</v>
      </c>
      <c r="CZ29">
        <f aca="true" t="shared" si="1" ref="CZ29:CZ34">AE29</f>
        <v>1</v>
      </c>
      <c r="DA29">
        <f aca="true" t="shared" si="2" ref="DA29:DA34">AI29</f>
        <v>1</v>
      </c>
      <c r="DB29">
        <v>0</v>
      </c>
    </row>
    <row r="30" spans="1:106" ht="12.75">
      <c r="A30">
        <f>ROW(Source!A37)</f>
        <v>37</v>
      </c>
      <c r="B30">
        <v>30840905</v>
      </c>
      <c r="C30">
        <v>30840942</v>
      </c>
      <c r="D30">
        <v>7232703</v>
      </c>
      <c r="E30">
        <v>1</v>
      </c>
      <c r="F30">
        <v>1</v>
      </c>
      <c r="G30">
        <v>7157832</v>
      </c>
      <c r="H30">
        <v>3</v>
      </c>
      <c r="I30" t="s">
        <v>211</v>
      </c>
      <c r="J30" t="s">
        <v>212</v>
      </c>
      <c r="K30" t="s">
        <v>213</v>
      </c>
      <c r="L30">
        <v>1327</v>
      </c>
      <c r="N30">
        <v>1005</v>
      </c>
      <c r="O30" t="s">
        <v>197</v>
      </c>
      <c r="P30" t="s">
        <v>197</v>
      </c>
      <c r="Q30">
        <v>1</v>
      </c>
      <c r="W30">
        <v>0</v>
      </c>
      <c r="X30">
        <v>821695351</v>
      </c>
      <c r="Y30">
        <v>108</v>
      </c>
      <c r="AA30">
        <v>388.29</v>
      </c>
      <c r="AB30">
        <v>0</v>
      </c>
      <c r="AC30">
        <v>0</v>
      </c>
      <c r="AD30">
        <v>0</v>
      </c>
      <c r="AE30">
        <v>33.56</v>
      </c>
      <c r="AF30">
        <v>0</v>
      </c>
      <c r="AG30">
        <v>0</v>
      </c>
      <c r="AH30">
        <v>0</v>
      </c>
      <c r="AI30">
        <v>11.57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108</v>
      </c>
      <c r="AV30">
        <v>0</v>
      </c>
      <c r="AW30">
        <v>2</v>
      </c>
      <c r="AX30">
        <v>30840946</v>
      </c>
      <c r="AY30">
        <v>1</v>
      </c>
      <c r="AZ30">
        <v>0</v>
      </c>
      <c r="BA30">
        <v>29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Y30*Source!I37</f>
        <v>380.16</v>
      </c>
      <c r="CY30">
        <f t="shared" si="0"/>
        <v>388.29</v>
      </c>
      <c r="CZ30">
        <f t="shared" si="1"/>
        <v>33.56</v>
      </c>
      <c r="DA30">
        <f t="shared" si="2"/>
        <v>11.57</v>
      </c>
      <c r="DB30">
        <v>0</v>
      </c>
    </row>
    <row r="31" spans="1:106" ht="12.75">
      <c r="A31">
        <f>ROW(Source!A37)</f>
        <v>37</v>
      </c>
      <c r="B31">
        <v>30840905</v>
      </c>
      <c r="C31">
        <v>30840942</v>
      </c>
      <c r="D31">
        <v>7231946</v>
      </c>
      <c r="E31">
        <v>1</v>
      </c>
      <c r="F31">
        <v>1</v>
      </c>
      <c r="G31">
        <v>7157832</v>
      </c>
      <c r="H31">
        <v>3</v>
      </c>
      <c r="I31" t="s">
        <v>214</v>
      </c>
      <c r="J31" t="s">
        <v>215</v>
      </c>
      <c r="K31" t="s">
        <v>216</v>
      </c>
      <c r="L31">
        <v>1348</v>
      </c>
      <c r="N31">
        <v>1009</v>
      </c>
      <c r="O31" t="s">
        <v>23</v>
      </c>
      <c r="P31" t="s">
        <v>23</v>
      </c>
      <c r="Q31">
        <v>1000</v>
      </c>
      <c r="W31">
        <v>0</v>
      </c>
      <c r="X31">
        <v>1086252637</v>
      </c>
      <c r="Y31">
        <v>0.0025</v>
      </c>
      <c r="AA31">
        <v>102243.85</v>
      </c>
      <c r="AB31">
        <v>0</v>
      </c>
      <c r="AC31">
        <v>0</v>
      </c>
      <c r="AD31">
        <v>0</v>
      </c>
      <c r="AE31">
        <v>20166.44</v>
      </c>
      <c r="AF31">
        <v>0</v>
      </c>
      <c r="AG31">
        <v>0</v>
      </c>
      <c r="AH31">
        <v>0</v>
      </c>
      <c r="AI31">
        <v>5.07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0.0025</v>
      </c>
      <c r="AV31">
        <v>0</v>
      </c>
      <c r="AW31">
        <v>2</v>
      </c>
      <c r="AX31">
        <v>30840947</v>
      </c>
      <c r="AY31">
        <v>1</v>
      </c>
      <c r="AZ31">
        <v>0</v>
      </c>
      <c r="BA31">
        <v>30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Y31*Source!I37</f>
        <v>0.0088</v>
      </c>
      <c r="CY31">
        <f t="shared" si="0"/>
        <v>102243.85</v>
      </c>
      <c r="CZ31">
        <f t="shared" si="1"/>
        <v>20166.44</v>
      </c>
      <c r="DA31">
        <f t="shared" si="2"/>
        <v>5.07</v>
      </c>
      <c r="DB31">
        <v>0</v>
      </c>
    </row>
    <row r="32" spans="1:106" ht="12.75">
      <c r="A32">
        <f>ROW(Source!A37)</f>
        <v>37</v>
      </c>
      <c r="B32">
        <v>30840905</v>
      </c>
      <c r="C32">
        <v>30840942</v>
      </c>
      <c r="D32">
        <v>7232436</v>
      </c>
      <c r="E32">
        <v>1</v>
      </c>
      <c r="F32">
        <v>1</v>
      </c>
      <c r="G32">
        <v>7157832</v>
      </c>
      <c r="H32">
        <v>3</v>
      </c>
      <c r="I32" t="s">
        <v>217</v>
      </c>
      <c r="J32" t="s">
        <v>218</v>
      </c>
      <c r="K32" t="s">
        <v>219</v>
      </c>
      <c r="L32">
        <v>1346</v>
      </c>
      <c r="N32">
        <v>1009</v>
      </c>
      <c r="O32" t="s">
        <v>220</v>
      </c>
      <c r="P32" t="s">
        <v>220</v>
      </c>
      <c r="Q32">
        <v>1</v>
      </c>
      <c r="W32">
        <v>0</v>
      </c>
      <c r="X32">
        <v>-68373463</v>
      </c>
      <c r="Y32">
        <v>12</v>
      </c>
      <c r="AA32">
        <v>57.09</v>
      </c>
      <c r="AB32">
        <v>0</v>
      </c>
      <c r="AC32">
        <v>0</v>
      </c>
      <c r="AD32">
        <v>0</v>
      </c>
      <c r="AE32">
        <v>9.86</v>
      </c>
      <c r="AF32">
        <v>0</v>
      </c>
      <c r="AG32">
        <v>0</v>
      </c>
      <c r="AH32">
        <v>0</v>
      </c>
      <c r="AI32">
        <v>5.79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12</v>
      </c>
      <c r="AV32">
        <v>0</v>
      </c>
      <c r="AW32">
        <v>2</v>
      </c>
      <c r="AX32">
        <v>30840948</v>
      </c>
      <c r="AY32">
        <v>1</v>
      </c>
      <c r="AZ32">
        <v>0</v>
      </c>
      <c r="BA32">
        <v>31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Y32*Source!I37</f>
        <v>42.24</v>
      </c>
      <c r="CY32">
        <f t="shared" si="0"/>
        <v>57.09</v>
      </c>
      <c r="CZ32">
        <f t="shared" si="1"/>
        <v>9.86</v>
      </c>
      <c r="DA32">
        <f t="shared" si="2"/>
        <v>5.79</v>
      </c>
      <c r="DB32">
        <v>0</v>
      </c>
    </row>
    <row r="33" spans="1:106" ht="12.75">
      <c r="A33">
        <f>ROW(Source!A37)</f>
        <v>37</v>
      </c>
      <c r="B33">
        <v>30840905</v>
      </c>
      <c r="C33">
        <v>30840942</v>
      </c>
      <c r="D33">
        <v>7234972</v>
      </c>
      <c r="E33">
        <v>1</v>
      </c>
      <c r="F33">
        <v>1</v>
      </c>
      <c r="G33">
        <v>7157832</v>
      </c>
      <c r="H33">
        <v>3</v>
      </c>
      <c r="I33" t="s">
        <v>95</v>
      </c>
      <c r="J33" t="s">
        <v>97</v>
      </c>
      <c r="K33" t="s">
        <v>96</v>
      </c>
      <c r="L33">
        <v>1339</v>
      </c>
      <c r="N33">
        <v>1007</v>
      </c>
      <c r="O33" t="s">
        <v>59</v>
      </c>
      <c r="P33" t="s">
        <v>59</v>
      </c>
      <c r="Q33">
        <v>1</v>
      </c>
      <c r="W33">
        <v>0</v>
      </c>
      <c r="X33">
        <v>-2108328104</v>
      </c>
      <c r="Y33">
        <v>2.604</v>
      </c>
      <c r="AA33">
        <v>3516.34</v>
      </c>
      <c r="AB33">
        <v>0</v>
      </c>
      <c r="AC33">
        <v>0</v>
      </c>
      <c r="AD33">
        <v>0</v>
      </c>
      <c r="AE33">
        <v>481.69</v>
      </c>
      <c r="AF33">
        <v>0</v>
      </c>
      <c r="AG33">
        <v>0</v>
      </c>
      <c r="AH33">
        <v>0</v>
      </c>
      <c r="AI33">
        <v>7.3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T33">
        <v>2.604</v>
      </c>
      <c r="AV33">
        <v>0</v>
      </c>
      <c r="AW33">
        <v>1</v>
      </c>
      <c r="AX33">
        <v>-1</v>
      </c>
      <c r="AY33">
        <v>0</v>
      </c>
      <c r="AZ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Y33*Source!I37</f>
        <v>9.166080000000001</v>
      </c>
      <c r="CY33">
        <f t="shared" si="0"/>
        <v>3516.34</v>
      </c>
      <c r="CZ33">
        <f t="shared" si="1"/>
        <v>481.69</v>
      </c>
      <c r="DA33">
        <f t="shared" si="2"/>
        <v>7.3</v>
      </c>
      <c r="DB33">
        <v>0</v>
      </c>
    </row>
    <row r="34" spans="1:106" ht="12.75">
      <c r="A34">
        <f>ROW(Source!A37)</f>
        <v>37</v>
      </c>
      <c r="B34">
        <v>30840905</v>
      </c>
      <c r="C34">
        <v>30840942</v>
      </c>
      <c r="D34">
        <v>7234987</v>
      </c>
      <c r="E34">
        <v>1</v>
      </c>
      <c r="F34">
        <v>1</v>
      </c>
      <c r="G34">
        <v>7157832</v>
      </c>
      <c r="H34">
        <v>3</v>
      </c>
      <c r="I34" t="s">
        <v>91</v>
      </c>
      <c r="J34" t="s">
        <v>93</v>
      </c>
      <c r="K34" t="s">
        <v>92</v>
      </c>
      <c r="L34">
        <v>1348</v>
      </c>
      <c r="N34">
        <v>1009</v>
      </c>
      <c r="O34" t="s">
        <v>23</v>
      </c>
      <c r="P34" t="s">
        <v>23</v>
      </c>
      <c r="Q34">
        <v>1000</v>
      </c>
      <c r="W34">
        <v>0</v>
      </c>
      <c r="X34">
        <v>-2099913476</v>
      </c>
      <c r="Y34">
        <v>1.0416</v>
      </c>
      <c r="AA34">
        <v>4386.1</v>
      </c>
      <c r="AB34">
        <v>0</v>
      </c>
      <c r="AC34">
        <v>0</v>
      </c>
      <c r="AD34">
        <v>0</v>
      </c>
      <c r="AE34">
        <v>1517.68</v>
      </c>
      <c r="AF34">
        <v>0</v>
      </c>
      <c r="AG34">
        <v>0</v>
      </c>
      <c r="AH34">
        <v>0</v>
      </c>
      <c r="AI34">
        <v>2.89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T34">
        <v>1.0416</v>
      </c>
      <c r="AV34">
        <v>0</v>
      </c>
      <c r="AW34">
        <v>1</v>
      </c>
      <c r="AX34">
        <v>-1</v>
      </c>
      <c r="AY34">
        <v>0</v>
      </c>
      <c r="AZ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Y34*Source!I37</f>
        <v>3.6664320000000004</v>
      </c>
      <c r="CY34">
        <f t="shared" si="0"/>
        <v>4386.1</v>
      </c>
      <c r="CZ34">
        <f t="shared" si="1"/>
        <v>1517.68</v>
      </c>
      <c r="DA34">
        <f t="shared" si="2"/>
        <v>2.89</v>
      </c>
      <c r="DB34">
        <v>0</v>
      </c>
    </row>
    <row r="35" spans="1:106" ht="12.75">
      <c r="A35">
        <f>ROW(Source!A40)</f>
        <v>40</v>
      </c>
      <c r="B35">
        <v>30840905</v>
      </c>
      <c r="C35">
        <v>30840955</v>
      </c>
      <c r="D35">
        <v>7157835</v>
      </c>
      <c r="E35">
        <v>7157832</v>
      </c>
      <c r="F35">
        <v>1</v>
      </c>
      <c r="G35">
        <v>7157832</v>
      </c>
      <c r="H35">
        <v>1</v>
      </c>
      <c r="I35" t="s">
        <v>171</v>
      </c>
      <c r="K35" t="s">
        <v>172</v>
      </c>
      <c r="L35">
        <v>1191</v>
      </c>
      <c r="N35">
        <v>1013</v>
      </c>
      <c r="O35" t="s">
        <v>173</v>
      </c>
      <c r="P35" t="s">
        <v>173</v>
      </c>
      <c r="Q35">
        <v>1</v>
      </c>
      <c r="W35">
        <v>0</v>
      </c>
      <c r="X35">
        <v>946207192</v>
      </c>
      <c r="Y35">
        <v>25.645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22.3</v>
      </c>
      <c r="AU35" t="s">
        <v>52</v>
      </c>
      <c r="AV35">
        <v>1</v>
      </c>
      <c r="AW35">
        <v>2</v>
      </c>
      <c r="AX35">
        <v>30840956</v>
      </c>
      <c r="AY35">
        <v>1</v>
      </c>
      <c r="AZ35">
        <v>0</v>
      </c>
      <c r="BA35">
        <v>34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Y35*Source!I40</f>
        <v>90.2704</v>
      </c>
      <c r="CY35">
        <f>AD35</f>
        <v>0</v>
      </c>
      <c r="CZ35">
        <f>AH35</f>
        <v>0</v>
      </c>
      <c r="DA35">
        <f>AL35</f>
        <v>1</v>
      </c>
      <c r="DB35">
        <v>0</v>
      </c>
    </row>
    <row r="36" spans="1:106" ht="12.75">
      <c r="A36">
        <f>ROW(Source!A40)</f>
        <v>40</v>
      </c>
      <c r="B36">
        <v>30840905</v>
      </c>
      <c r="C36">
        <v>30840955</v>
      </c>
      <c r="D36">
        <v>7159942</v>
      </c>
      <c r="E36">
        <v>7157832</v>
      </c>
      <c r="F36">
        <v>1</v>
      </c>
      <c r="G36">
        <v>7157832</v>
      </c>
      <c r="H36">
        <v>2</v>
      </c>
      <c r="I36" t="s">
        <v>175</v>
      </c>
      <c r="K36" t="s">
        <v>176</v>
      </c>
      <c r="L36">
        <v>1344</v>
      </c>
      <c r="N36">
        <v>1008</v>
      </c>
      <c r="O36" t="s">
        <v>177</v>
      </c>
      <c r="P36" t="s">
        <v>177</v>
      </c>
      <c r="Q36">
        <v>1</v>
      </c>
      <c r="W36">
        <v>0</v>
      </c>
      <c r="X36">
        <v>-450565604</v>
      </c>
      <c r="Y36">
        <v>20.474999999999998</v>
      </c>
      <c r="AA36">
        <v>0</v>
      </c>
      <c r="AB36">
        <v>1</v>
      </c>
      <c r="AC36">
        <v>0</v>
      </c>
      <c r="AD36">
        <v>0</v>
      </c>
      <c r="AE36">
        <v>0</v>
      </c>
      <c r="AF36">
        <v>1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16.38</v>
      </c>
      <c r="AU36" t="s">
        <v>51</v>
      </c>
      <c r="AV36">
        <v>0</v>
      </c>
      <c r="AW36">
        <v>2</v>
      </c>
      <c r="AX36">
        <v>30840957</v>
      </c>
      <c r="AY36">
        <v>1</v>
      </c>
      <c r="AZ36">
        <v>0</v>
      </c>
      <c r="BA36">
        <v>35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Y36*Source!I40</f>
        <v>72.07199999999999</v>
      </c>
      <c r="CY36">
        <f>AB36</f>
        <v>1</v>
      </c>
      <c r="CZ36">
        <f>AF36</f>
        <v>1</v>
      </c>
      <c r="DA36">
        <f>AJ36</f>
        <v>1</v>
      </c>
      <c r="DB36">
        <v>0</v>
      </c>
    </row>
    <row r="37" spans="1:106" ht="12.75">
      <c r="A37">
        <f>ROW(Source!A40)</f>
        <v>40</v>
      </c>
      <c r="B37">
        <v>30840905</v>
      </c>
      <c r="C37">
        <v>30840955</v>
      </c>
      <c r="D37">
        <v>7182707</v>
      </c>
      <c r="E37">
        <v>7157832</v>
      </c>
      <c r="F37">
        <v>1</v>
      </c>
      <c r="G37">
        <v>7157832</v>
      </c>
      <c r="H37">
        <v>3</v>
      </c>
      <c r="I37" t="s">
        <v>174</v>
      </c>
      <c r="K37" t="s">
        <v>210</v>
      </c>
      <c r="L37">
        <v>1344</v>
      </c>
      <c r="N37">
        <v>1008</v>
      </c>
      <c r="O37" t="s">
        <v>177</v>
      </c>
      <c r="P37" t="s">
        <v>177</v>
      </c>
      <c r="Q37">
        <v>1</v>
      </c>
      <c r="W37">
        <v>0</v>
      </c>
      <c r="X37">
        <v>-360884371</v>
      </c>
      <c r="Y37">
        <v>3.5</v>
      </c>
      <c r="AA37">
        <v>1</v>
      </c>
      <c r="AB37">
        <v>0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3.5</v>
      </c>
      <c r="AV37">
        <v>0</v>
      </c>
      <c r="AW37">
        <v>2</v>
      </c>
      <c r="AX37">
        <v>30840959</v>
      </c>
      <c r="AY37">
        <v>1</v>
      </c>
      <c r="AZ37">
        <v>0</v>
      </c>
      <c r="BA37">
        <v>36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Y37*Source!I40</f>
        <v>12.32</v>
      </c>
      <c r="CY37">
        <f>AA37</f>
        <v>1</v>
      </c>
      <c r="CZ37">
        <f>AE37</f>
        <v>1</v>
      </c>
      <c r="DA37">
        <f>AI37</f>
        <v>1</v>
      </c>
      <c r="DB37">
        <v>0</v>
      </c>
    </row>
    <row r="38" spans="1:106" ht="12.75">
      <c r="A38">
        <f>ROW(Source!A40)</f>
        <v>40</v>
      </c>
      <c r="B38">
        <v>30840905</v>
      </c>
      <c r="C38">
        <v>30840955</v>
      </c>
      <c r="D38">
        <v>7232062</v>
      </c>
      <c r="E38">
        <v>1</v>
      </c>
      <c r="F38">
        <v>1</v>
      </c>
      <c r="G38">
        <v>7157832</v>
      </c>
      <c r="H38">
        <v>3</v>
      </c>
      <c r="I38" t="s">
        <v>103</v>
      </c>
      <c r="J38" t="s">
        <v>105</v>
      </c>
      <c r="K38" t="s">
        <v>104</v>
      </c>
      <c r="L38">
        <v>1348</v>
      </c>
      <c r="N38">
        <v>1009</v>
      </c>
      <c r="O38" t="s">
        <v>23</v>
      </c>
      <c r="P38" t="s">
        <v>23</v>
      </c>
      <c r="Q38">
        <v>1000</v>
      </c>
      <c r="W38">
        <v>0</v>
      </c>
      <c r="X38">
        <v>1772601939</v>
      </c>
      <c r="Y38">
        <v>0.36</v>
      </c>
      <c r="AA38">
        <v>27753.06</v>
      </c>
      <c r="AB38">
        <v>0</v>
      </c>
      <c r="AC38">
        <v>0</v>
      </c>
      <c r="AD38">
        <v>0</v>
      </c>
      <c r="AE38">
        <v>4350.01</v>
      </c>
      <c r="AF38">
        <v>0</v>
      </c>
      <c r="AG38">
        <v>0</v>
      </c>
      <c r="AH38">
        <v>0</v>
      </c>
      <c r="AI38">
        <v>6.38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T38">
        <v>0.36</v>
      </c>
      <c r="AV38">
        <v>0</v>
      </c>
      <c r="AW38">
        <v>1</v>
      </c>
      <c r="AX38">
        <v>-1</v>
      </c>
      <c r="AY38">
        <v>0</v>
      </c>
      <c r="AZ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Y38*Source!I40</f>
        <v>1.2671999999999999</v>
      </c>
      <c r="CY38">
        <f>AA38</f>
        <v>27753.06</v>
      </c>
      <c r="CZ38">
        <f>AE38</f>
        <v>4350.01</v>
      </c>
      <c r="DA38">
        <f>AI38</f>
        <v>6.38</v>
      </c>
      <c r="DB38">
        <v>0</v>
      </c>
    </row>
    <row r="39" spans="1:106" ht="12.75">
      <c r="A39">
        <f>ROW(Source!A42)</f>
        <v>42</v>
      </c>
      <c r="B39">
        <v>30840905</v>
      </c>
      <c r="C39">
        <v>30840971</v>
      </c>
      <c r="D39">
        <v>7157835</v>
      </c>
      <c r="E39">
        <v>7157832</v>
      </c>
      <c r="F39">
        <v>1</v>
      </c>
      <c r="G39">
        <v>7157832</v>
      </c>
      <c r="H39">
        <v>1</v>
      </c>
      <c r="I39" t="s">
        <v>171</v>
      </c>
      <c r="K39" t="s">
        <v>172</v>
      </c>
      <c r="L39">
        <v>1191</v>
      </c>
      <c r="N39">
        <v>1013</v>
      </c>
      <c r="O39" t="s">
        <v>173</v>
      </c>
      <c r="P39" t="s">
        <v>173</v>
      </c>
      <c r="Q39">
        <v>1</v>
      </c>
      <c r="W39">
        <v>0</v>
      </c>
      <c r="X39">
        <v>946207192</v>
      </c>
      <c r="Y39">
        <v>15.179999999999998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13.2</v>
      </c>
      <c r="AU39" t="s">
        <v>52</v>
      </c>
      <c r="AV39">
        <v>1</v>
      </c>
      <c r="AW39">
        <v>2</v>
      </c>
      <c r="AX39">
        <v>30840972</v>
      </c>
      <c r="AY39">
        <v>1</v>
      </c>
      <c r="AZ39">
        <v>0</v>
      </c>
      <c r="BA39">
        <v>38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Y39*Source!I42</f>
        <v>53.43359999999999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ht="12.75">
      <c r="A40">
        <f>ROW(Source!A42)</f>
        <v>42</v>
      </c>
      <c r="B40">
        <v>30840905</v>
      </c>
      <c r="C40">
        <v>30840971</v>
      </c>
      <c r="D40">
        <v>7231421</v>
      </c>
      <c r="E40">
        <v>1</v>
      </c>
      <c r="F40">
        <v>1</v>
      </c>
      <c r="G40">
        <v>7157832</v>
      </c>
      <c r="H40">
        <v>2</v>
      </c>
      <c r="I40" t="s">
        <v>198</v>
      </c>
      <c r="J40" t="s">
        <v>199</v>
      </c>
      <c r="K40" t="s">
        <v>200</v>
      </c>
      <c r="L40">
        <v>1368</v>
      </c>
      <c r="N40">
        <v>1011</v>
      </c>
      <c r="O40" t="s">
        <v>181</v>
      </c>
      <c r="P40" t="s">
        <v>181</v>
      </c>
      <c r="Q40">
        <v>1</v>
      </c>
      <c r="W40">
        <v>0</v>
      </c>
      <c r="X40">
        <v>-1289262214</v>
      </c>
      <c r="Y40">
        <v>0.1375</v>
      </c>
      <c r="AA40">
        <v>0</v>
      </c>
      <c r="AB40">
        <v>666.24</v>
      </c>
      <c r="AC40">
        <v>299.73</v>
      </c>
      <c r="AD40">
        <v>0</v>
      </c>
      <c r="AE40">
        <v>0</v>
      </c>
      <c r="AF40">
        <v>74.44</v>
      </c>
      <c r="AG40">
        <v>17.59</v>
      </c>
      <c r="AH40">
        <v>0</v>
      </c>
      <c r="AI40">
        <v>1</v>
      </c>
      <c r="AJ40">
        <v>8.95</v>
      </c>
      <c r="AK40">
        <v>17.04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0.11</v>
      </c>
      <c r="AU40" t="s">
        <v>51</v>
      </c>
      <c r="AV40">
        <v>0</v>
      </c>
      <c r="AW40">
        <v>2</v>
      </c>
      <c r="AX40">
        <v>30840973</v>
      </c>
      <c r="AY40">
        <v>1</v>
      </c>
      <c r="AZ40">
        <v>0</v>
      </c>
      <c r="BA40">
        <v>39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Y40*Source!I42</f>
        <v>0.48400000000000004</v>
      </c>
      <c r="CY40">
        <f>AB40</f>
        <v>666.24</v>
      </c>
      <c r="CZ40">
        <f>AF40</f>
        <v>74.44</v>
      </c>
      <c r="DA40">
        <f>AJ40</f>
        <v>8.95</v>
      </c>
      <c r="DB40">
        <v>0</v>
      </c>
    </row>
    <row r="41" spans="1:106" ht="12.75">
      <c r="A41">
        <f>ROW(Source!A42)</f>
        <v>42</v>
      </c>
      <c r="B41">
        <v>30840905</v>
      </c>
      <c r="C41">
        <v>30840971</v>
      </c>
      <c r="D41">
        <v>7230911</v>
      </c>
      <c r="E41">
        <v>1</v>
      </c>
      <c r="F41">
        <v>1</v>
      </c>
      <c r="G41">
        <v>7157832</v>
      </c>
      <c r="H41">
        <v>2</v>
      </c>
      <c r="I41" t="s">
        <v>221</v>
      </c>
      <c r="J41" t="s">
        <v>222</v>
      </c>
      <c r="K41" t="s">
        <v>223</v>
      </c>
      <c r="L41">
        <v>1368</v>
      </c>
      <c r="N41">
        <v>1011</v>
      </c>
      <c r="O41" t="s">
        <v>181</v>
      </c>
      <c r="P41" t="s">
        <v>181</v>
      </c>
      <c r="Q41">
        <v>1</v>
      </c>
      <c r="W41">
        <v>0</v>
      </c>
      <c r="X41">
        <v>-292460840</v>
      </c>
      <c r="Y41">
        <v>0.2625</v>
      </c>
      <c r="AA41">
        <v>0</v>
      </c>
      <c r="AB41">
        <v>13.81</v>
      </c>
      <c r="AC41">
        <v>11.42</v>
      </c>
      <c r="AD41">
        <v>0</v>
      </c>
      <c r="AE41">
        <v>0</v>
      </c>
      <c r="AF41">
        <v>1.28</v>
      </c>
      <c r="AG41">
        <v>0.67</v>
      </c>
      <c r="AH41">
        <v>0</v>
      </c>
      <c r="AI41">
        <v>1</v>
      </c>
      <c r="AJ41">
        <v>10.79</v>
      </c>
      <c r="AK41">
        <v>17.04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0.21</v>
      </c>
      <c r="AU41" t="s">
        <v>51</v>
      </c>
      <c r="AV41">
        <v>0</v>
      </c>
      <c r="AW41">
        <v>2</v>
      </c>
      <c r="AX41">
        <v>30840974</v>
      </c>
      <c r="AY41">
        <v>1</v>
      </c>
      <c r="AZ41">
        <v>0</v>
      </c>
      <c r="BA41">
        <v>40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Y41*Source!I42</f>
        <v>0.924</v>
      </c>
      <c r="CY41">
        <f>AB41</f>
        <v>13.81</v>
      </c>
      <c r="CZ41">
        <f>AF41</f>
        <v>1.28</v>
      </c>
      <c r="DA41">
        <f>AJ41</f>
        <v>10.79</v>
      </c>
      <c r="DB41">
        <v>0</v>
      </c>
    </row>
    <row r="42" spans="1:106" ht="12.75">
      <c r="A42">
        <f>ROW(Source!A42)</f>
        <v>42</v>
      </c>
      <c r="B42">
        <v>30840905</v>
      </c>
      <c r="C42">
        <v>30840971</v>
      </c>
      <c r="D42">
        <v>7231824</v>
      </c>
      <c r="E42">
        <v>1</v>
      </c>
      <c r="F42">
        <v>1</v>
      </c>
      <c r="G42">
        <v>7157832</v>
      </c>
      <c r="H42">
        <v>3</v>
      </c>
      <c r="I42" t="s">
        <v>224</v>
      </c>
      <c r="J42" t="s">
        <v>225</v>
      </c>
      <c r="K42" t="s">
        <v>226</v>
      </c>
      <c r="L42">
        <v>1346</v>
      </c>
      <c r="N42">
        <v>1009</v>
      </c>
      <c r="O42" t="s">
        <v>220</v>
      </c>
      <c r="P42" t="s">
        <v>220</v>
      </c>
      <c r="Q42">
        <v>1</v>
      </c>
      <c r="W42">
        <v>0</v>
      </c>
      <c r="X42">
        <v>626593577</v>
      </c>
      <c r="Y42">
        <v>0.41</v>
      </c>
      <c r="AA42">
        <v>45.89</v>
      </c>
      <c r="AB42">
        <v>0</v>
      </c>
      <c r="AC42">
        <v>0</v>
      </c>
      <c r="AD42">
        <v>0</v>
      </c>
      <c r="AE42">
        <v>1.61</v>
      </c>
      <c r="AF42">
        <v>0</v>
      </c>
      <c r="AG42">
        <v>0</v>
      </c>
      <c r="AH42">
        <v>0</v>
      </c>
      <c r="AI42">
        <v>28.5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0.41</v>
      </c>
      <c r="AV42">
        <v>0</v>
      </c>
      <c r="AW42">
        <v>2</v>
      </c>
      <c r="AX42">
        <v>30840975</v>
      </c>
      <c r="AY42">
        <v>1</v>
      </c>
      <c r="AZ42">
        <v>0</v>
      </c>
      <c r="BA42">
        <v>41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Y42*Source!I42</f>
        <v>1.4431999999999998</v>
      </c>
      <c r="CY42">
        <f aca="true" t="shared" si="3" ref="CY42:CY47">AA42</f>
        <v>45.89</v>
      </c>
      <c r="CZ42">
        <f aca="true" t="shared" si="4" ref="CZ42:CZ47">AE42</f>
        <v>1.61</v>
      </c>
      <c r="DA42">
        <f aca="true" t="shared" si="5" ref="DA42:DA47">AI42</f>
        <v>28.5</v>
      </c>
      <c r="DB42">
        <v>0</v>
      </c>
    </row>
    <row r="43" spans="1:106" ht="12.75">
      <c r="A43">
        <f>ROW(Source!A42)</f>
        <v>42</v>
      </c>
      <c r="B43">
        <v>30840905</v>
      </c>
      <c r="C43">
        <v>30840971</v>
      </c>
      <c r="D43">
        <v>7233148</v>
      </c>
      <c r="E43">
        <v>1</v>
      </c>
      <c r="F43">
        <v>1</v>
      </c>
      <c r="G43">
        <v>7157832</v>
      </c>
      <c r="H43">
        <v>3</v>
      </c>
      <c r="I43" t="s">
        <v>227</v>
      </c>
      <c r="J43" t="s">
        <v>228</v>
      </c>
      <c r="K43" t="s">
        <v>229</v>
      </c>
      <c r="L43">
        <v>1348</v>
      </c>
      <c r="N43">
        <v>1009</v>
      </c>
      <c r="O43" t="s">
        <v>23</v>
      </c>
      <c r="P43" t="s">
        <v>23</v>
      </c>
      <c r="Q43">
        <v>1000</v>
      </c>
      <c r="W43">
        <v>0</v>
      </c>
      <c r="X43">
        <v>1454788397</v>
      </c>
      <c r="Y43">
        <v>0.012</v>
      </c>
      <c r="AA43">
        <v>96921.71</v>
      </c>
      <c r="AB43">
        <v>0</v>
      </c>
      <c r="AC43">
        <v>0</v>
      </c>
      <c r="AD43">
        <v>0</v>
      </c>
      <c r="AE43">
        <v>10697.76</v>
      </c>
      <c r="AF43">
        <v>0</v>
      </c>
      <c r="AG43">
        <v>0</v>
      </c>
      <c r="AH43">
        <v>0</v>
      </c>
      <c r="AI43">
        <v>9.06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0.012</v>
      </c>
      <c r="AV43">
        <v>0</v>
      </c>
      <c r="AW43">
        <v>2</v>
      </c>
      <c r="AX43">
        <v>30840976</v>
      </c>
      <c r="AY43">
        <v>1</v>
      </c>
      <c r="AZ43">
        <v>0</v>
      </c>
      <c r="BA43">
        <v>42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Y43*Source!I42</f>
        <v>0.04224</v>
      </c>
      <c r="CY43">
        <f t="shared" si="3"/>
        <v>96921.71</v>
      </c>
      <c r="CZ43">
        <f t="shared" si="4"/>
        <v>10697.76</v>
      </c>
      <c r="DA43">
        <f t="shared" si="5"/>
        <v>9.06</v>
      </c>
      <c r="DB43">
        <v>0</v>
      </c>
    </row>
    <row r="44" spans="1:106" ht="12.75">
      <c r="A44">
        <f>ROW(Source!A42)</f>
        <v>42</v>
      </c>
      <c r="B44">
        <v>30840905</v>
      </c>
      <c r="C44">
        <v>30840971</v>
      </c>
      <c r="D44">
        <v>7231877</v>
      </c>
      <c r="E44">
        <v>1</v>
      </c>
      <c r="F44">
        <v>1</v>
      </c>
      <c r="G44">
        <v>7157832</v>
      </c>
      <c r="H44">
        <v>3</v>
      </c>
      <c r="I44" t="s">
        <v>230</v>
      </c>
      <c r="J44" t="s">
        <v>231</v>
      </c>
      <c r="K44" t="s">
        <v>232</v>
      </c>
      <c r="L44">
        <v>1348</v>
      </c>
      <c r="N44">
        <v>1009</v>
      </c>
      <c r="O44" t="s">
        <v>23</v>
      </c>
      <c r="P44" t="s">
        <v>23</v>
      </c>
      <c r="Q44">
        <v>1000</v>
      </c>
      <c r="W44">
        <v>0</v>
      </c>
      <c r="X44">
        <v>1281400172</v>
      </c>
      <c r="Y44">
        <v>0.015</v>
      </c>
      <c r="AA44">
        <v>109002.57</v>
      </c>
      <c r="AB44">
        <v>0</v>
      </c>
      <c r="AC44">
        <v>0</v>
      </c>
      <c r="AD44">
        <v>0</v>
      </c>
      <c r="AE44">
        <v>11449.85</v>
      </c>
      <c r="AF44">
        <v>0</v>
      </c>
      <c r="AG44">
        <v>0</v>
      </c>
      <c r="AH44">
        <v>0</v>
      </c>
      <c r="AI44">
        <v>9.52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0.015</v>
      </c>
      <c r="AV44">
        <v>0</v>
      </c>
      <c r="AW44">
        <v>2</v>
      </c>
      <c r="AX44">
        <v>30840977</v>
      </c>
      <c r="AY44">
        <v>1</v>
      </c>
      <c r="AZ44">
        <v>0</v>
      </c>
      <c r="BA44">
        <v>43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Y44*Source!I42</f>
        <v>0.0528</v>
      </c>
      <c r="CY44">
        <f t="shared" si="3"/>
        <v>109002.57</v>
      </c>
      <c r="CZ44">
        <f t="shared" si="4"/>
        <v>11449.85</v>
      </c>
      <c r="DA44">
        <f t="shared" si="5"/>
        <v>9.52</v>
      </c>
      <c r="DB44">
        <v>0</v>
      </c>
    </row>
    <row r="45" spans="1:106" ht="12.75">
      <c r="A45">
        <f>ROW(Source!A42)</f>
        <v>42</v>
      </c>
      <c r="B45">
        <v>30840905</v>
      </c>
      <c r="C45">
        <v>30840971</v>
      </c>
      <c r="D45">
        <v>7232164</v>
      </c>
      <c r="E45">
        <v>1</v>
      </c>
      <c r="F45">
        <v>1</v>
      </c>
      <c r="G45">
        <v>7157832</v>
      </c>
      <c r="H45">
        <v>3</v>
      </c>
      <c r="I45" t="s">
        <v>113</v>
      </c>
      <c r="J45" t="s">
        <v>115</v>
      </c>
      <c r="K45" t="s">
        <v>114</v>
      </c>
      <c r="L45">
        <v>1348</v>
      </c>
      <c r="N45">
        <v>1009</v>
      </c>
      <c r="O45" t="s">
        <v>23</v>
      </c>
      <c r="P45" t="s">
        <v>23</v>
      </c>
      <c r="Q45">
        <v>1000</v>
      </c>
      <c r="W45">
        <v>0</v>
      </c>
      <c r="X45">
        <v>-1103049749</v>
      </c>
      <c r="Y45">
        <v>0.059</v>
      </c>
      <c r="AA45">
        <v>84725.97</v>
      </c>
      <c r="AB45">
        <v>0</v>
      </c>
      <c r="AC45">
        <v>0</v>
      </c>
      <c r="AD45">
        <v>0</v>
      </c>
      <c r="AE45">
        <v>16138.28</v>
      </c>
      <c r="AF45">
        <v>0</v>
      </c>
      <c r="AG45">
        <v>0</v>
      </c>
      <c r="AH45">
        <v>0</v>
      </c>
      <c r="AI45">
        <v>5.25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T45">
        <v>0.059</v>
      </c>
      <c r="AV45">
        <v>0</v>
      </c>
      <c r="AW45">
        <v>1</v>
      </c>
      <c r="AX45">
        <v>-1</v>
      </c>
      <c r="AY45">
        <v>0</v>
      </c>
      <c r="AZ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Y45*Source!I42</f>
        <v>0.20768</v>
      </c>
      <c r="CY45">
        <f t="shared" si="3"/>
        <v>84725.97</v>
      </c>
      <c r="CZ45">
        <f t="shared" si="4"/>
        <v>16138.28</v>
      </c>
      <c r="DA45">
        <f t="shared" si="5"/>
        <v>5.25</v>
      </c>
      <c r="DB45">
        <v>0</v>
      </c>
    </row>
    <row r="46" spans="1:106" ht="12.75">
      <c r="A46">
        <f>ROW(Source!A42)</f>
        <v>42</v>
      </c>
      <c r="B46">
        <v>30840905</v>
      </c>
      <c r="C46">
        <v>30840971</v>
      </c>
      <c r="D46">
        <v>7232450</v>
      </c>
      <c r="E46">
        <v>1</v>
      </c>
      <c r="F46">
        <v>1</v>
      </c>
      <c r="G46">
        <v>7157832</v>
      </c>
      <c r="H46">
        <v>3</v>
      </c>
      <c r="I46" t="s">
        <v>233</v>
      </c>
      <c r="J46" t="s">
        <v>234</v>
      </c>
      <c r="K46" t="s">
        <v>235</v>
      </c>
      <c r="L46">
        <v>1348</v>
      </c>
      <c r="N46">
        <v>1009</v>
      </c>
      <c r="O46" t="s">
        <v>23</v>
      </c>
      <c r="P46" t="s">
        <v>23</v>
      </c>
      <c r="Q46">
        <v>1000</v>
      </c>
      <c r="W46">
        <v>0</v>
      </c>
      <c r="X46">
        <v>-1292742975</v>
      </c>
      <c r="Y46">
        <v>0.00024</v>
      </c>
      <c r="AA46">
        <v>2781.64</v>
      </c>
      <c r="AB46">
        <v>0</v>
      </c>
      <c r="AC46">
        <v>0</v>
      </c>
      <c r="AD46">
        <v>0</v>
      </c>
      <c r="AE46">
        <v>176.5</v>
      </c>
      <c r="AF46">
        <v>0</v>
      </c>
      <c r="AG46">
        <v>0</v>
      </c>
      <c r="AH46">
        <v>0</v>
      </c>
      <c r="AI46">
        <v>15.76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0.00024</v>
      </c>
      <c r="AV46">
        <v>0</v>
      </c>
      <c r="AW46">
        <v>2</v>
      </c>
      <c r="AX46">
        <v>30840978</v>
      </c>
      <c r="AY46">
        <v>1</v>
      </c>
      <c r="AZ46">
        <v>0</v>
      </c>
      <c r="BA46">
        <v>44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Y46*Source!I42</f>
        <v>0.0008448</v>
      </c>
      <c r="CY46">
        <f t="shared" si="3"/>
        <v>2781.64</v>
      </c>
      <c r="CZ46">
        <f t="shared" si="4"/>
        <v>176.5</v>
      </c>
      <c r="DA46">
        <f t="shared" si="5"/>
        <v>15.76</v>
      </c>
      <c r="DB46">
        <v>0</v>
      </c>
    </row>
    <row r="47" spans="1:106" ht="12.75">
      <c r="A47">
        <f>ROW(Source!A42)</f>
        <v>42</v>
      </c>
      <c r="B47">
        <v>30840905</v>
      </c>
      <c r="C47">
        <v>30840971</v>
      </c>
      <c r="D47">
        <v>7232675</v>
      </c>
      <c r="E47">
        <v>1</v>
      </c>
      <c r="F47">
        <v>1</v>
      </c>
      <c r="G47">
        <v>7157832</v>
      </c>
      <c r="H47">
        <v>3</v>
      </c>
      <c r="I47" t="s">
        <v>236</v>
      </c>
      <c r="J47" t="s">
        <v>237</v>
      </c>
      <c r="K47" t="s">
        <v>238</v>
      </c>
      <c r="L47">
        <v>1348</v>
      </c>
      <c r="N47">
        <v>1009</v>
      </c>
      <c r="O47" t="s">
        <v>23</v>
      </c>
      <c r="P47" t="s">
        <v>23</v>
      </c>
      <c r="Q47">
        <v>1000</v>
      </c>
      <c r="W47">
        <v>0</v>
      </c>
      <c r="X47">
        <v>-897705037</v>
      </c>
      <c r="Y47">
        <v>0.01</v>
      </c>
      <c r="AA47">
        <v>45878.03</v>
      </c>
      <c r="AB47">
        <v>0</v>
      </c>
      <c r="AC47">
        <v>0</v>
      </c>
      <c r="AD47">
        <v>0</v>
      </c>
      <c r="AE47">
        <v>12534.98</v>
      </c>
      <c r="AF47">
        <v>0</v>
      </c>
      <c r="AG47">
        <v>0</v>
      </c>
      <c r="AH47">
        <v>0</v>
      </c>
      <c r="AI47">
        <v>3.66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0.01</v>
      </c>
      <c r="AV47">
        <v>0</v>
      </c>
      <c r="AW47">
        <v>2</v>
      </c>
      <c r="AX47">
        <v>30840979</v>
      </c>
      <c r="AY47">
        <v>1</v>
      </c>
      <c r="AZ47">
        <v>0</v>
      </c>
      <c r="BA47">
        <v>45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Y47*Source!I42</f>
        <v>0.0352</v>
      </c>
      <c r="CY47">
        <f t="shared" si="3"/>
        <v>45878.03</v>
      </c>
      <c r="CZ47">
        <f t="shared" si="4"/>
        <v>12534.98</v>
      </c>
      <c r="DA47">
        <f t="shared" si="5"/>
        <v>3.66</v>
      </c>
      <c r="DB47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30840911</v>
      </c>
      <c r="C1">
        <v>30840910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171</v>
      </c>
      <c r="K1" t="s">
        <v>172</v>
      </c>
      <c r="L1">
        <v>1191</v>
      </c>
      <c r="N1">
        <v>1013</v>
      </c>
      <c r="O1" t="s">
        <v>173</v>
      </c>
      <c r="P1" t="s">
        <v>173</v>
      </c>
      <c r="Q1">
        <v>1</v>
      </c>
      <c r="X1">
        <v>49.1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G1">
        <v>49.1</v>
      </c>
      <c r="AH1">
        <v>2</v>
      </c>
      <c r="AI1">
        <v>30840911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30840912</v>
      </c>
      <c r="C2">
        <v>30840910</v>
      </c>
      <c r="D2">
        <v>7182702</v>
      </c>
      <c r="E2">
        <v>7157832</v>
      </c>
      <c r="F2">
        <v>1</v>
      </c>
      <c r="G2">
        <v>7157832</v>
      </c>
      <c r="H2">
        <v>3</v>
      </c>
      <c r="I2" t="s">
        <v>174</v>
      </c>
      <c r="K2" t="s">
        <v>22</v>
      </c>
      <c r="L2">
        <v>1348</v>
      </c>
      <c r="N2">
        <v>1009</v>
      </c>
      <c r="O2" t="s">
        <v>23</v>
      </c>
      <c r="P2" t="s">
        <v>23</v>
      </c>
      <c r="Q2">
        <v>1000</v>
      </c>
      <c r="X2">
        <v>4.6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0</v>
      </c>
      <c r="AG2">
        <v>4.6</v>
      </c>
      <c r="AH2">
        <v>2</v>
      </c>
      <c r="AI2">
        <v>30840912</v>
      </c>
      <c r="AJ2">
        <v>3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ROW(Source!A26)</f>
        <v>26</v>
      </c>
      <c r="B3">
        <v>30840914</v>
      </c>
      <c r="C3">
        <v>30840913</v>
      </c>
      <c r="D3">
        <v>7157835</v>
      </c>
      <c r="E3">
        <v>7157832</v>
      </c>
      <c r="F3">
        <v>1</v>
      </c>
      <c r="G3">
        <v>7157832</v>
      </c>
      <c r="H3">
        <v>1</v>
      </c>
      <c r="I3" t="s">
        <v>171</v>
      </c>
      <c r="K3" t="s">
        <v>172</v>
      </c>
      <c r="L3">
        <v>1191</v>
      </c>
      <c r="N3">
        <v>1013</v>
      </c>
      <c r="O3" t="s">
        <v>173</v>
      </c>
      <c r="P3" t="s">
        <v>173</v>
      </c>
      <c r="Q3">
        <v>1</v>
      </c>
      <c r="X3">
        <v>212.41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1</v>
      </c>
      <c r="AF3" t="s">
        <v>29</v>
      </c>
      <c r="AG3">
        <v>70.09530000000001</v>
      </c>
      <c r="AH3">
        <v>2</v>
      </c>
      <c r="AI3">
        <v>30840914</v>
      </c>
      <c r="AJ3">
        <v>4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ROW(Source!A26)</f>
        <v>26</v>
      </c>
      <c r="B4">
        <v>30840917</v>
      </c>
      <c r="C4">
        <v>30840913</v>
      </c>
      <c r="D4">
        <v>7159942</v>
      </c>
      <c r="E4">
        <v>7157832</v>
      </c>
      <c r="F4">
        <v>1</v>
      </c>
      <c r="G4">
        <v>7157832</v>
      </c>
      <c r="H4">
        <v>2</v>
      </c>
      <c r="I4" t="s">
        <v>175</v>
      </c>
      <c r="K4" t="s">
        <v>176</v>
      </c>
      <c r="L4">
        <v>1344</v>
      </c>
      <c r="N4">
        <v>1008</v>
      </c>
      <c r="O4" t="s">
        <v>177</v>
      </c>
      <c r="P4" t="s">
        <v>177</v>
      </c>
      <c r="Q4">
        <v>1</v>
      </c>
      <c r="X4">
        <v>162.8</v>
      </c>
      <c r="Y4">
        <v>0</v>
      </c>
      <c r="Z4">
        <v>1</v>
      </c>
      <c r="AA4">
        <v>0</v>
      </c>
      <c r="AB4">
        <v>0</v>
      </c>
      <c r="AC4">
        <v>0</v>
      </c>
      <c r="AD4">
        <v>1</v>
      </c>
      <c r="AE4">
        <v>0</v>
      </c>
      <c r="AG4">
        <v>162.8</v>
      </c>
      <c r="AH4">
        <v>2</v>
      </c>
      <c r="AI4">
        <v>30840917</v>
      </c>
      <c r="AJ4">
        <v>5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ROW(Source!A26)</f>
        <v>26</v>
      </c>
      <c r="B5">
        <v>30840915</v>
      </c>
      <c r="C5">
        <v>30840913</v>
      </c>
      <c r="D5">
        <v>7231126</v>
      </c>
      <c r="E5">
        <v>1</v>
      </c>
      <c r="F5">
        <v>1</v>
      </c>
      <c r="G5">
        <v>7157832</v>
      </c>
      <c r="H5">
        <v>2</v>
      </c>
      <c r="I5" t="s">
        <v>178</v>
      </c>
      <c r="J5" t="s">
        <v>179</v>
      </c>
      <c r="K5" t="s">
        <v>180</v>
      </c>
      <c r="L5">
        <v>1368</v>
      </c>
      <c r="N5">
        <v>1011</v>
      </c>
      <c r="O5" t="s">
        <v>181</v>
      </c>
      <c r="P5" t="s">
        <v>181</v>
      </c>
      <c r="Q5">
        <v>1</v>
      </c>
      <c r="X5">
        <v>27.5</v>
      </c>
      <c r="Y5">
        <v>0</v>
      </c>
      <c r="Z5">
        <v>41.62</v>
      </c>
      <c r="AA5">
        <v>13.33</v>
      </c>
      <c r="AB5">
        <v>0</v>
      </c>
      <c r="AC5">
        <v>0</v>
      </c>
      <c r="AD5">
        <v>1</v>
      </c>
      <c r="AE5">
        <v>0</v>
      </c>
      <c r="AG5">
        <v>27.5</v>
      </c>
      <c r="AH5">
        <v>2</v>
      </c>
      <c r="AI5">
        <v>30840915</v>
      </c>
      <c r="AJ5">
        <v>6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ROW(Source!A26)</f>
        <v>26</v>
      </c>
      <c r="B6">
        <v>30840916</v>
      </c>
      <c r="C6">
        <v>30840913</v>
      </c>
      <c r="D6">
        <v>7231489</v>
      </c>
      <c r="E6">
        <v>1</v>
      </c>
      <c r="F6">
        <v>1</v>
      </c>
      <c r="G6">
        <v>7157832</v>
      </c>
      <c r="H6">
        <v>2</v>
      </c>
      <c r="I6" t="s">
        <v>182</v>
      </c>
      <c r="J6" t="s">
        <v>183</v>
      </c>
      <c r="K6" t="s">
        <v>184</v>
      </c>
      <c r="L6">
        <v>1368</v>
      </c>
      <c r="N6">
        <v>1011</v>
      </c>
      <c r="O6" t="s">
        <v>181</v>
      </c>
      <c r="P6" t="s">
        <v>181</v>
      </c>
      <c r="Q6">
        <v>1</v>
      </c>
      <c r="X6">
        <v>27.5</v>
      </c>
      <c r="Y6">
        <v>0</v>
      </c>
      <c r="Z6">
        <v>3.16</v>
      </c>
      <c r="AA6">
        <v>0.04</v>
      </c>
      <c r="AB6">
        <v>0</v>
      </c>
      <c r="AC6">
        <v>0</v>
      </c>
      <c r="AD6">
        <v>1</v>
      </c>
      <c r="AE6">
        <v>0</v>
      </c>
      <c r="AG6">
        <v>27.5</v>
      </c>
      <c r="AH6">
        <v>2</v>
      </c>
      <c r="AI6">
        <v>30840916</v>
      </c>
      <c r="AJ6">
        <v>7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ROW(Source!A26)</f>
        <v>26</v>
      </c>
      <c r="B7">
        <v>30840918</v>
      </c>
      <c r="C7">
        <v>30840913</v>
      </c>
      <c r="D7">
        <v>7182702</v>
      </c>
      <c r="E7">
        <v>7157832</v>
      </c>
      <c r="F7">
        <v>1</v>
      </c>
      <c r="G7">
        <v>7157832</v>
      </c>
      <c r="H7">
        <v>3</v>
      </c>
      <c r="I7" t="s">
        <v>174</v>
      </c>
      <c r="K7" t="s">
        <v>22</v>
      </c>
      <c r="L7">
        <v>1348</v>
      </c>
      <c r="N7">
        <v>1009</v>
      </c>
      <c r="O7" t="s">
        <v>23</v>
      </c>
      <c r="P7" t="s">
        <v>23</v>
      </c>
      <c r="Q7">
        <v>1000</v>
      </c>
      <c r="X7">
        <v>20.61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20.61</v>
      </c>
      <c r="AH7">
        <v>2</v>
      </c>
      <c r="AI7">
        <v>30840918</v>
      </c>
      <c r="AJ7">
        <v>9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ROW(Source!A28)</f>
        <v>28</v>
      </c>
      <c r="B8">
        <v>30840992</v>
      </c>
      <c r="C8">
        <v>30840990</v>
      </c>
      <c r="D8">
        <v>7159942</v>
      </c>
      <c r="E8">
        <v>7157832</v>
      </c>
      <c r="F8">
        <v>1</v>
      </c>
      <c r="G8">
        <v>7157832</v>
      </c>
      <c r="H8">
        <v>2</v>
      </c>
      <c r="I8" t="s">
        <v>175</v>
      </c>
      <c r="K8" t="s">
        <v>176</v>
      </c>
      <c r="L8">
        <v>1344</v>
      </c>
      <c r="N8">
        <v>1008</v>
      </c>
      <c r="O8" t="s">
        <v>177</v>
      </c>
      <c r="P8" t="s">
        <v>177</v>
      </c>
      <c r="Q8">
        <v>1</v>
      </c>
      <c r="X8">
        <v>8.86</v>
      </c>
      <c r="Y8">
        <v>0</v>
      </c>
      <c r="Z8">
        <v>1</v>
      </c>
      <c r="AA8">
        <v>0</v>
      </c>
      <c r="AB8">
        <v>0</v>
      </c>
      <c r="AC8">
        <v>0</v>
      </c>
      <c r="AD8">
        <v>1</v>
      </c>
      <c r="AE8">
        <v>0</v>
      </c>
      <c r="AG8">
        <v>8.86</v>
      </c>
      <c r="AH8">
        <v>2</v>
      </c>
      <c r="AI8">
        <v>30840992</v>
      </c>
      <c r="AJ8">
        <v>10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ROW(Source!A30)</f>
        <v>30</v>
      </c>
      <c r="B9">
        <v>30840920</v>
      </c>
      <c r="C9">
        <v>30840919</v>
      </c>
      <c r="D9">
        <v>7157835</v>
      </c>
      <c r="E9">
        <v>7157832</v>
      </c>
      <c r="F9">
        <v>1</v>
      </c>
      <c r="G9">
        <v>7157832</v>
      </c>
      <c r="H9">
        <v>1</v>
      </c>
      <c r="I9" t="s">
        <v>171</v>
      </c>
      <c r="K9" t="s">
        <v>172</v>
      </c>
      <c r="L9">
        <v>1191</v>
      </c>
      <c r="N9">
        <v>1013</v>
      </c>
      <c r="O9" t="s">
        <v>173</v>
      </c>
      <c r="P9" t="s">
        <v>173</v>
      </c>
      <c r="Q9">
        <v>1</v>
      </c>
      <c r="X9">
        <v>135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1</v>
      </c>
      <c r="AF9" t="s">
        <v>52</v>
      </c>
      <c r="AG9">
        <v>155.25</v>
      </c>
      <c r="AH9">
        <v>2</v>
      </c>
      <c r="AI9">
        <v>30840920</v>
      </c>
      <c r="AJ9">
        <v>11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ROW(Source!A30)</f>
        <v>30</v>
      </c>
      <c r="B10">
        <v>30840921</v>
      </c>
      <c r="C10">
        <v>30840919</v>
      </c>
      <c r="D10">
        <v>7231423</v>
      </c>
      <c r="E10">
        <v>1</v>
      </c>
      <c r="F10">
        <v>1</v>
      </c>
      <c r="G10">
        <v>7157832</v>
      </c>
      <c r="H10">
        <v>2</v>
      </c>
      <c r="I10" t="s">
        <v>185</v>
      </c>
      <c r="J10" t="s">
        <v>186</v>
      </c>
      <c r="K10" t="s">
        <v>187</v>
      </c>
      <c r="L10">
        <v>1368</v>
      </c>
      <c r="N10">
        <v>1011</v>
      </c>
      <c r="O10" t="s">
        <v>181</v>
      </c>
      <c r="P10" t="s">
        <v>181</v>
      </c>
      <c r="Q10">
        <v>1</v>
      </c>
      <c r="X10">
        <v>0.12</v>
      </c>
      <c r="Y10">
        <v>0</v>
      </c>
      <c r="Z10">
        <v>84.66</v>
      </c>
      <c r="AA10">
        <v>19.66</v>
      </c>
      <c r="AB10">
        <v>0</v>
      </c>
      <c r="AC10">
        <v>0</v>
      </c>
      <c r="AD10">
        <v>1</v>
      </c>
      <c r="AE10">
        <v>0</v>
      </c>
      <c r="AF10" t="s">
        <v>51</v>
      </c>
      <c r="AG10">
        <v>0.15</v>
      </c>
      <c r="AH10">
        <v>2</v>
      </c>
      <c r="AI10">
        <v>30840921</v>
      </c>
      <c r="AJ10">
        <v>12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ROW(Source!A30)</f>
        <v>30</v>
      </c>
      <c r="B11">
        <v>30840922</v>
      </c>
      <c r="C11">
        <v>30840919</v>
      </c>
      <c r="D11">
        <v>7231062</v>
      </c>
      <c r="E11">
        <v>1</v>
      </c>
      <c r="F11">
        <v>1</v>
      </c>
      <c r="G11">
        <v>7157832</v>
      </c>
      <c r="H11">
        <v>2</v>
      </c>
      <c r="I11" t="s">
        <v>188</v>
      </c>
      <c r="J11" t="s">
        <v>189</v>
      </c>
      <c r="K11" t="s">
        <v>190</v>
      </c>
      <c r="L11">
        <v>1368</v>
      </c>
      <c r="N11">
        <v>1011</v>
      </c>
      <c r="O11" t="s">
        <v>181</v>
      </c>
      <c r="P11" t="s">
        <v>181</v>
      </c>
      <c r="Q11">
        <v>1</v>
      </c>
      <c r="X11">
        <v>5.93</v>
      </c>
      <c r="Y11">
        <v>0</v>
      </c>
      <c r="Z11">
        <v>1.61</v>
      </c>
      <c r="AA11">
        <v>0.04</v>
      </c>
      <c r="AB11">
        <v>0</v>
      </c>
      <c r="AC11">
        <v>0</v>
      </c>
      <c r="AD11">
        <v>1</v>
      </c>
      <c r="AE11">
        <v>0</v>
      </c>
      <c r="AF11" t="s">
        <v>51</v>
      </c>
      <c r="AG11">
        <v>7.4125</v>
      </c>
      <c r="AH11">
        <v>2</v>
      </c>
      <c r="AI11">
        <v>30840922</v>
      </c>
      <c r="AJ11">
        <v>13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ROW(Source!A30)</f>
        <v>30</v>
      </c>
      <c r="B12">
        <v>30840923</v>
      </c>
      <c r="C12">
        <v>30840919</v>
      </c>
      <c r="D12">
        <v>7231827</v>
      </c>
      <c r="E12">
        <v>1</v>
      </c>
      <c r="F12">
        <v>1</v>
      </c>
      <c r="G12">
        <v>7157832</v>
      </c>
      <c r="H12">
        <v>3</v>
      </c>
      <c r="I12" t="s">
        <v>191</v>
      </c>
      <c r="J12" t="s">
        <v>192</v>
      </c>
      <c r="K12" t="s">
        <v>193</v>
      </c>
      <c r="L12">
        <v>1339</v>
      </c>
      <c r="N12">
        <v>1007</v>
      </c>
      <c r="O12" t="s">
        <v>59</v>
      </c>
      <c r="P12" t="s">
        <v>59</v>
      </c>
      <c r="Q12">
        <v>1</v>
      </c>
      <c r="X12">
        <v>1.75</v>
      </c>
      <c r="Y12">
        <v>7.07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1.75</v>
      </c>
      <c r="AH12">
        <v>2</v>
      </c>
      <c r="AI12">
        <v>30840923</v>
      </c>
      <c r="AJ12">
        <v>14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ROW(Source!A30)</f>
        <v>30</v>
      </c>
      <c r="B13">
        <v>30840924</v>
      </c>
      <c r="C13">
        <v>30840919</v>
      </c>
      <c r="D13">
        <v>7232363</v>
      </c>
      <c r="E13">
        <v>1</v>
      </c>
      <c r="F13">
        <v>1</v>
      </c>
      <c r="G13">
        <v>7157832</v>
      </c>
      <c r="H13">
        <v>3</v>
      </c>
      <c r="I13" t="s">
        <v>194</v>
      </c>
      <c r="J13" t="s">
        <v>195</v>
      </c>
      <c r="K13" t="s">
        <v>196</v>
      </c>
      <c r="L13">
        <v>1327</v>
      </c>
      <c r="N13">
        <v>1005</v>
      </c>
      <c r="O13" t="s">
        <v>197</v>
      </c>
      <c r="P13" t="s">
        <v>197</v>
      </c>
      <c r="Q13">
        <v>1</v>
      </c>
      <c r="X13">
        <v>250</v>
      </c>
      <c r="Y13">
        <v>7.39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250</v>
      </c>
      <c r="AH13">
        <v>2</v>
      </c>
      <c r="AI13">
        <v>30840924</v>
      </c>
      <c r="AJ13">
        <v>15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ROW(Source!A30)</f>
        <v>30</v>
      </c>
      <c r="B14">
        <v>30840925</v>
      </c>
      <c r="C14">
        <v>30840919</v>
      </c>
      <c r="D14">
        <v>7178414</v>
      </c>
      <c r="E14">
        <v>7157832</v>
      </c>
      <c r="F14">
        <v>1</v>
      </c>
      <c r="G14">
        <v>7157832</v>
      </c>
      <c r="H14">
        <v>3</v>
      </c>
      <c r="I14" t="s">
        <v>239</v>
      </c>
      <c r="K14" t="s">
        <v>240</v>
      </c>
      <c r="L14">
        <v>1339</v>
      </c>
      <c r="N14">
        <v>1007</v>
      </c>
      <c r="O14" t="s">
        <v>59</v>
      </c>
      <c r="P14" t="s">
        <v>59</v>
      </c>
      <c r="Q14">
        <v>1</v>
      </c>
      <c r="X14">
        <v>102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G14">
        <v>102</v>
      </c>
      <c r="AH14">
        <v>3</v>
      </c>
      <c r="AI14">
        <v>-1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ROW(Source!A32)</f>
        <v>32</v>
      </c>
      <c r="B15">
        <v>30840997</v>
      </c>
      <c r="C15">
        <v>30840927</v>
      </c>
      <c r="D15">
        <v>7157835</v>
      </c>
      <c r="E15">
        <v>7157832</v>
      </c>
      <c r="F15">
        <v>1</v>
      </c>
      <c r="G15">
        <v>7157832</v>
      </c>
      <c r="H15">
        <v>1</v>
      </c>
      <c r="I15" t="s">
        <v>171</v>
      </c>
      <c r="K15" t="s">
        <v>172</v>
      </c>
      <c r="L15">
        <v>1191</v>
      </c>
      <c r="N15">
        <v>1013</v>
      </c>
      <c r="O15" t="s">
        <v>173</v>
      </c>
      <c r="P15" t="s">
        <v>173</v>
      </c>
      <c r="Q15">
        <v>1</v>
      </c>
      <c r="X15">
        <v>11.6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1</v>
      </c>
      <c r="AF15" t="s">
        <v>52</v>
      </c>
      <c r="AG15">
        <v>13.339999999999998</v>
      </c>
      <c r="AH15">
        <v>2</v>
      </c>
      <c r="AI15">
        <v>30840997</v>
      </c>
      <c r="AJ15">
        <v>17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ROW(Source!A32)</f>
        <v>32</v>
      </c>
      <c r="B16">
        <v>30840998</v>
      </c>
      <c r="C16">
        <v>30840927</v>
      </c>
      <c r="D16">
        <v>7231421</v>
      </c>
      <c r="E16">
        <v>1</v>
      </c>
      <c r="F16">
        <v>1</v>
      </c>
      <c r="G16">
        <v>7157832</v>
      </c>
      <c r="H16">
        <v>2</v>
      </c>
      <c r="I16" t="s">
        <v>198</v>
      </c>
      <c r="J16" t="s">
        <v>199</v>
      </c>
      <c r="K16" t="s">
        <v>200</v>
      </c>
      <c r="L16">
        <v>1368</v>
      </c>
      <c r="N16">
        <v>1011</v>
      </c>
      <c r="O16" t="s">
        <v>181</v>
      </c>
      <c r="P16" t="s">
        <v>181</v>
      </c>
      <c r="Q16">
        <v>1</v>
      </c>
      <c r="X16">
        <v>0.2</v>
      </c>
      <c r="Y16">
        <v>0</v>
      </c>
      <c r="Z16">
        <v>74.44</v>
      </c>
      <c r="AA16">
        <v>17.59</v>
      </c>
      <c r="AB16">
        <v>0</v>
      </c>
      <c r="AC16">
        <v>0</v>
      </c>
      <c r="AD16">
        <v>1</v>
      </c>
      <c r="AE16">
        <v>0</v>
      </c>
      <c r="AF16" t="s">
        <v>51</v>
      </c>
      <c r="AG16">
        <v>0.25</v>
      </c>
      <c r="AH16">
        <v>2</v>
      </c>
      <c r="AI16">
        <v>30840998</v>
      </c>
      <c r="AJ16">
        <v>18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ROW(Source!A32)</f>
        <v>32</v>
      </c>
      <c r="B17">
        <v>30840999</v>
      </c>
      <c r="C17">
        <v>30840927</v>
      </c>
      <c r="D17">
        <v>7230811</v>
      </c>
      <c r="E17">
        <v>1</v>
      </c>
      <c r="F17">
        <v>1</v>
      </c>
      <c r="G17">
        <v>7157832</v>
      </c>
      <c r="H17">
        <v>2</v>
      </c>
      <c r="I17" t="s">
        <v>201</v>
      </c>
      <c r="J17" t="s">
        <v>202</v>
      </c>
      <c r="K17" t="s">
        <v>203</v>
      </c>
      <c r="L17">
        <v>1368</v>
      </c>
      <c r="N17">
        <v>1011</v>
      </c>
      <c r="O17" t="s">
        <v>181</v>
      </c>
      <c r="P17" t="s">
        <v>181</v>
      </c>
      <c r="Q17">
        <v>1</v>
      </c>
      <c r="X17">
        <v>0.15</v>
      </c>
      <c r="Y17">
        <v>0</v>
      </c>
      <c r="Z17">
        <v>102.11</v>
      </c>
      <c r="AA17">
        <v>30.03</v>
      </c>
      <c r="AB17">
        <v>0</v>
      </c>
      <c r="AC17">
        <v>0</v>
      </c>
      <c r="AD17">
        <v>1</v>
      </c>
      <c r="AE17">
        <v>0</v>
      </c>
      <c r="AF17" t="s">
        <v>51</v>
      </c>
      <c r="AG17">
        <v>0.1875</v>
      </c>
      <c r="AH17">
        <v>2</v>
      </c>
      <c r="AI17">
        <v>30840999</v>
      </c>
      <c r="AJ17">
        <v>19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ROW(Source!A32)</f>
        <v>32</v>
      </c>
      <c r="B18">
        <v>30841000</v>
      </c>
      <c r="C18">
        <v>30840927</v>
      </c>
      <c r="D18">
        <v>7158477</v>
      </c>
      <c r="E18">
        <v>7157832</v>
      </c>
      <c r="F18">
        <v>1</v>
      </c>
      <c r="G18">
        <v>7157832</v>
      </c>
      <c r="H18">
        <v>3</v>
      </c>
      <c r="I18" t="s">
        <v>241</v>
      </c>
      <c r="K18" t="s">
        <v>242</v>
      </c>
      <c r="L18">
        <v>1348</v>
      </c>
      <c r="N18">
        <v>1009</v>
      </c>
      <c r="O18" t="s">
        <v>23</v>
      </c>
      <c r="P18" t="s">
        <v>23</v>
      </c>
      <c r="Q18">
        <v>1000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G18">
        <v>1</v>
      </c>
      <c r="AH18">
        <v>3</v>
      </c>
      <c r="AI18">
        <v>-1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ROW(Source!A32)</f>
        <v>32</v>
      </c>
      <c r="B19">
        <v>30841001</v>
      </c>
      <c r="C19">
        <v>30840927</v>
      </c>
      <c r="D19">
        <v>7232639</v>
      </c>
      <c r="E19">
        <v>1</v>
      </c>
      <c r="F19">
        <v>1</v>
      </c>
      <c r="G19">
        <v>7157832</v>
      </c>
      <c r="H19">
        <v>3</v>
      </c>
      <c r="I19" t="s">
        <v>204</v>
      </c>
      <c r="J19" t="s">
        <v>205</v>
      </c>
      <c r="K19" t="s">
        <v>206</v>
      </c>
      <c r="L19">
        <v>1348</v>
      </c>
      <c r="N19">
        <v>1009</v>
      </c>
      <c r="O19" t="s">
        <v>23</v>
      </c>
      <c r="P19" t="s">
        <v>23</v>
      </c>
      <c r="Q19">
        <v>1000</v>
      </c>
      <c r="X19">
        <v>0.028</v>
      </c>
      <c r="Y19">
        <v>9246.96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0.028</v>
      </c>
      <c r="AH19">
        <v>2</v>
      </c>
      <c r="AI19">
        <v>30841001</v>
      </c>
      <c r="AJ19">
        <v>20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ROW(Source!A34)</f>
        <v>34</v>
      </c>
      <c r="B20">
        <v>30840935</v>
      </c>
      <c r="C20">
        <v>30840934</v>
      </c>
      <c r="D20">
        <v>7157835</v>
      </c>
      <c r="E20">
        <v>7157832</v>
      </c>
      <c r="F20">
        <v>1</v>
      </c>
      <c r="G20">
        <v>7157832</v>
      </c>
      <c r="H20">
        <v>1</v>
      </c>
      <c r="I20" t="s">
        <v>171</v>
      </c>
      <c r="K20" t="s">
        <v>172</v>
      </c>
      <c r="L20">
        <v>1191</v>
      </c>
      <c r="N20">
        <v>1013</v>
      </c>
      <c r="O20" t="s">
        <v>173</v>
      </c>
      <c r="P20" t="s">
        <v>173</v>
      </c>
      <c r="Q20">
        <v>1</v>
      </c>
      <c r="X20">
        <v>4.54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1</v>
      </c>
      <c r="AF20" t="s">
        <v>52</v>
      </c>
      <c r="AG20">
        <v>5.220999999999999</v>
      </c>
      <c r="AH20">
        <v>2</v>
      </c>
      <c r="AI20">
        <v>30840935</v>
      </c>
      <c r="AJ20">
        <v>22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ROW(Source!A34)</f>
        <v>34</v>
      </c>
      <c r="B21">
        <v>30840936</v>
      </c>
      <c r="C21">
        <v>30840934</v>
      </c>
      <c r="D21">
        <v>7231827</v>
      </c>
      <c r="E21">
        <v>1</v>
      </c>
      <c r="F21">
        <v>1</v>
      </c>
      <c r="G21">
        <v>7157832</v>
      </c>
      <c r="H21">
        <v>3</v>
      </c>
      <c r="I21" t="s">
        <v>191</v>
      </c>
      <c r="J21" t="s">
        <v>192</v>
      </c>
      <c r="K21" t="s">
        <v>193</v>
      </c>
      <c r="L21">
        <v>1339</v>
      </c>
      <c r="N21">
        <v>1007</v>
      </c>
      <c r="O21" t="s">
        <v>59</v>
      </c>
      <c r="P21" t="s">
        <v>59</v>
      </c>
      <c r="Q21">
        <v>1</v>
      </c>
      <c r="X21">
        <v>0.44</v>
      </c>
      <c r="Y21">
        <v>7.07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0.44</v>
      </c>
      <c r="AH21">
        <v>2</v>
      </c>
      <c r="AI21">
        <v>30840936</v>
      </c>
      <c r="AJ21">
        <v>23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ROW(Source!A34)</f>
        <v>34</v>
      </c>
      <c r="B22">
        <v>30840937</v>
      </c>
      <c r="C22">
        <v>30840934</v>
      </c>
      <c r="D22">
        <v>7231794</v>
      </c>
      <c r="E22">
        <v>1</v>
      </c>
      <c r="F22">
        <v>1</v>
      </c>
      <c r="G22">
        <v>7157832</v>
      </c>
      <c r="H22">
        <v>3</v>
      </c>
      <c r="I22" t="s">
        <v>207</v>
      </c>
      <c r="J22" t="s">
        <v>208</v>
      </c>
      <c r="K22" t="s">
        <v>209</v>
      </c>
      <c r="L22">
        <v>1339</v>
      </c>
      <c r="N22">
        <v>1007</v>
      </c>
      <c r="O22" t="s">
        <v>59</v>
      </c>
      <c r="P22" t="s">
        <v>59</v>
      </c>
      <c r="Q22">
        <v>1</v>
      </c>
      <c r="X22">
        <v>0.0005</v>
      </c>
      <c r="Y22">
        <v>2472.13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0.0005</v>
      </c>
      <c r="AH22">
        <v>2</v>
      </c>
      <c r="AI22">
        <v>30840937</v>
      </c>
      <c r="AJ22">
        <v>25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ROW(Source!A34)</f>
        <v>34</v>
      </c>
      <c r="B23">
        <v>30840938</v>
      </c>
      <c r="C23">
        <v>30840934</v>
      </c>
      <c r="D23">
        <v>7178335</v>
      </c>
      <c r="E23">
        <v>7157832</v>
      </c>
      <c r="F23">
        <v>1</v>
      </c>
      <c r="G23">
        <v>7157832</v>
      </c>
      <c r="H23">
        <v>3</v>
      </c>
      <c r="I23" t="s">
        <v>243</v>
      </c>
      <c r="K23" t="s">
        <v>244</v>
      </c>
      <c r="L23">
        <v>1356</v>
      </c>
      <c r="N23">
        <v>1010</v>
      </c>
      <c r="O23" t="s">
        <v>78</v>
      </c>
      <c r="P23" t="s">
        <v>78</v>
      </c>
      <c r="Q23">
        <v>1000</v>
      </c>
      <c r="X23">
        <v>0.38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G23">
        <v>0.38</v>
      </c>
      <c r="AH23">
        <v>3</v>
      </c>
      <c r="AI23">
        <v>-1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ROW(Source!A34)</f>
        <v>34</v>
      </c>
      <c r="B24">
        <v>30840939</v>
      </c>
      <c r="C24">
        <v>30840934</v>
      </c>
      <c r="D24">
        <v>7178754</v>
      </c>
      <c r="E24">
        <v>7157832</v>
      </c>
      <c r="F24">
        <v>1</v>
      </c>
      <c r="G24">
        <v>7157832</v>
      </c>
      <c r="H24">
        <v>3</v>
      </c>
      <c r="I24" t="s">
        <v>245</v>
      </c>
      <c r="K24" t="s">
        <v>246</v>
      </c>
      <c r="L24">
        <v>1339</v>
      </c>
      <c r="N24">
        <v>1007</v>
      </c>
      <c r="O24" t="s">
        <v>59</v>
      </c>
      <c r="P24" t="s">
        <v>59</v>
      </c>
      <c r="Q24">
        <v>1</v>
      </c>
      <c r="X24">
        <v>0.24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G24">
        <v>0.24</v>
      </c>
      <c r="AH24">
        <v>3</v>
      </c>
      <c r="AI24">
        <v>-1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ROW(Source!A37)</f>
        <v>37</v>
      </c>
      <c r="B25">
        <v>30840943</v>
      </c>
      <c r="C25">
        <v>30840942</v>
      </c>
      <c r="D25">
        <v>7157835</v>
      </c>
      <c r="E25">
        <v>7157832</v>
      </c>
      <c r="F25">
        <v>1</v>
      </c>
      <c r="G25">
        <v>7157832</v>
      </c>
      <c r="H25">
        <v>1</v>
      </c>
      <c r="I25" t="s">
        <v>171</v>
      </c>
      <c r="K25" t="s">
        <v>172</v>
      </c>
      <c r="L25">
        <v>1191</v>
      </c>
      <c r="N25">
        <v>1013</v>
      </c>
      <c r="O25" t="s">
        <v>173</v>
      </c>
      <c r="P25" t="s">
        <v>173</v>
      </c>
      <c r="Q25">
        <v>1</v>
      </c>
      <c r="X25">
        <v>133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1</v>
      </c>
      <c r="AF25" t="s">
        <v>52</v>
      </c>
      <c r="AG25">
        <v>152.95</v>
      </c>
      <c r="AH25">
        <v>2</v>
      </c>
      <c r="AI25">
        <v>30840943</v>
      </c>
      <c r="AJ25">
        <v>27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ROW(Source!A37)</f>
        <v>37</v>
      </c>
      <c r="B26">
        <v>30840944</v>
      </c>
      <c r="C26">
        <v>30840942</v>
      </c>
      <c r="D26">
        <v>7159942</v>
      </c>
      <c r="E26">
        <v>7157832</v>
      </c>
      <c r="F26">
        <v>1</v>
      </c>
      <c r="G26">
        <v>7157832</v>
      </c>
      <c r="H26">
        <v>2</v>
      </c>
      <c r="I26" t="s">
        <v>175</v>
      </c>
      <c r="K26" t="s">
        <v>176</v>
      </c>
      <c r="L26">
        <v>1344</v>
      </c>
      <c r="N26">
        <v>1008</v>
      </c>
      <c r="O26" t="s">
        <v>177</v>
      </c>
      <c r="P26" t="s">
        <v>177</v>
      </c>
      <c r="Q26">
        <v>1</v>
      </c>
      <c r="X26">
        <v>267.05</v>
      </c>
      <c r="Y26">
        <v>0</v>
      </c>
      <c r="Z26">
        <v>1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51</v>
      </c>
      <c r="AG26">
        <v>333.8125</v>
      </c>
      <c r="AH26">
        <v>2</v>
      </c>
      <c r="AI26">
        <v>30840944</v>
      </c>
      <c r="AJ26">
        <v>28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ROW(Source!A37)</f>
        <v>37</v>
      </c>
      <c r="B27">
        <v>30840951</v>
      </c>
      <c r="C27">
        <v>30840942</v>
      </c>
      <c r="D27">
        <v>7182707</v>
      </c>
      <c r="E27">
        <v>7157832</v>
      </c>
      <c r="F27">
        <v>1</v>
      </c>
      <c r="G27">
        <v>7157832</v>
      </c>
      <c r="H27">
        <v>3</v>
      </c>
      <c r="I27" t="s">
        <v>174</v>
      </c>
      <c r="K27" t="s">
        <v>210</v>
      </c>
      <c r="L27">
        <v>1344</v>
      </c>
      <c r="N27">
        <v>1008</v>
      </c>
      <c r="O27" t="s">
        <v>177</v>
      </c>
      <c r="P27" t="s">
        <v>177</v>
      </c>
      <c r="Q27">
        <v>1</v>
      </c>
      <c r="X27">
        <v>3</v>
      </c>
      <c r="Y27">
        <v>1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3</v>
      </c>
      <c r="AH27">
        <v>2</v>
      </c>
      <c r="AI27">
        <v>30840951</v>
      </c>
      <c r="AJ27">
        <v>29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ROW(Source!A37)</f>
        <v>37</v>
      </c>
      <c r="B28">
        <v>30840945</v>
      </c>
      <c r="C28">
        <v>30840942</v>
      </c>
      <c r="D28">
        <v>7157848</v>
      </c>
      <c r="E28">
        <v>7157832</v>
      </c>
      <c r="F28">
        <v>1</v>
      </c>
      <c r="G28">
        <v>7157832</v>
      </c>
      <c r="H28">
        <v>3</v>
      </c>
      <c r="I28" t="s">
        <v>247</v>
      </c>
      <c r="K28" t="s">
        <v>193</v>
      </c>
      <c r="L28">
        <v>1339</v>
      </c>
      <c r="N28">
        <v>1007</v>
      </c>
      <c r="O28" t="s">
        <v>59</v>
      </c>
      <c r="P28" t="s">
        <v>59</v>
      </c>
      <c r="Q28">
        <v>1</v>
      </c>
      <c r="X28">
        <v>0.18228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G28">
        <v>0.18228</v>
      </c>
      <c r="AH28">
        <v>3</v>
      </c>
      <c r="AI28">
        <v>-1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ROW(Source!A37)</f>
        <v>37</v>
      </c>
      <c r="B29">
        <v>30840946</v>
      </c>
      <c r="C29">
        <v>30840942</v>
      </c>
      <c r="D29">
        <v>7232703</v>
      </c>
      <c r="E29">
        <v>1</v>
      </c>
      <c r="F29">
        <v>1</v>
      </c>
      <c r="G29">
        <v>7157832</v>
      </c>
      <c r="H29">
        <v>3</v>
      </c>
      <c r="I29" t="s">
        <v>211</v>
      </c>
      <c r="J29" t="s">
        <v>212</v>
      </c>
      <c r="K29" t="s">
        <v>213</v>
      </c>
      <c r="L29">
        <v>1327</v>
      </c>
      <c r="N29">
        <v>1005</v>
      </c>
      <c r="O29" t="s">
        <v>197</v>
      </c>
      <c r="P29" t="s">
        <v>197</v>
      </c>
      <c r="Q29">
        <v>1</v>
      </c>
      <c r="X29">
        <v>108</v>
      </c>
      <c r="Y29">
        <v>33.56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108</v>
      </c>
      <c r="AH29">
        <v>2</v>
      </c>
      <c r="AI29">
        <v>30840946</v>
      </c>
      <c r="AJ29">
        <v>30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ROW(Source!A37)</f>
        <v>37</v>
      </c>
      <c r="B30">
        <v>30840947</v>
      </c>
      <c r="C30">
        <v>30840942</v>
      </c>
      <c r="D30">
        <v>7231946</v>
      </c>
      <c r="E30">
        <v>1</v>
      </c>
      <c r="F30">
        <v>1</v>
      </c>
      <c r="G30">
        <v>7157832</v>
      </c>
      <c r="H30">
        <v>3</v>
      </c>
      <c r="I30" t="s">
        <v>214</v>
      </c>
      <c r="J30" t="s">
        <v>215</v>
      </c>
      <c r="K30" t="s">
        <v>216</v>
      </c>
      <c r="L30">
        <v>1348</v>
      </c>
      <c r="N30">
        <v>1009</v>
      </c>
      <c r="O30" t="s">
        <v>23</v>
      </c>
      <c r="P30" t="s">
        <v>23</v>
      </c>
      <c r="Q30">
        <v>1000</v>
      </c>
      <c r="X30">
        <v>0.0025</v>
      </c>
      <c r="Y30">
        <v>20166.44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0.0025</v>
      </c>
      <c r="AH30">
        <v>2</v>
      </c>
      <c r="AI30">
        <v>30840947</v>
      </c>
      <c r="AJ30">
        <v>31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ROW(Source!A37)</f>
        <v>37</v>
      </c>
      <c r="B31">
        <v>30840948</v>
      </c>
      <c r="C31">
        <v>30840942</v>
      </c>
      <c r="D31">
        <v>7232436</v>
      </c>
      <c r="E31">
        <v>1</v>
      </c>
      <c r="F31">
        <v>1</v>
      </c>
      <c r="G31">
        <v>7157832</v>
      </c>
      <c r="H31">
        <v>3</v>
      </c>
      <c r="I31" t="s">
        <v>217</v>
      </c>
      <c r="J31" t="s">
        <v>218</v>
      </c>
      <c r="K31" t="s">
        <v>219</v>
      </c>
      <c r="L31">
        <v>1346</v>
      </c>
      <c r="N31">
        <v>1009</v>
      </c>
      <c r="O31" t="s">
        <v>220</v>
      </c>
      <c r="P31" t="s">
        <v>220</v>
      </c>
      <c r="Q31">
        <v>1</v>
      </c>
      <c r="X31">
        <v>12</v>
      </c>
      <c r="Y31">
        <v>9.86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12</v>
      </c>
      <c r="AH31">
        <v>2</v>
      </c>
      <c r="AI31">
        <v>30840948</v>
      </c>
      <c r="AJ31">
        <v>32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ROW(Source!A37)</f>
        <v>37</v>
      </c>
      <c r="B32">
        <v>30840949</v>
      </c>
      <c r="C32">
        <v>30840942</v>
      </c>
      <c r="D32">
        <v>7178563</v>
      </c>
      <c r="E32">
        <v>7157832</v>
      </c>
      <c r="F32">
        <v>1</v>
      </c>
      <c r="G32">
        <v>7157832</v>
      </c>
      <c r="H32">
        <v>3</v>
      </c>
      <c r="I32" t="s">
        <v>248</v>
      </c>
      <c r="K32" t="s">
        <v>249</v>
      </c>
      <c r="L32">
        <v>1348</v>
      </c>
      <c r="N32">
        <v>1009</v>
      </c>
      <c r="O32" t="s">
        <v>23</v>
      </c>
      <c r="P32" t="s">
        <v>23</v>
      </c>
      <c r="Q32">
        <v>1000</v>
      </c>
      <c r="X32">
        <v>1.0416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G32">
        <v>1.0416</v>
      </c>
      <c r="AH32">
        <v>3</v>
      </c>
      <c r="AI32">
        <v>-1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ROW(Source!A37)</f>
        <v>37</v>
      </c>
      <c r="B33">
        <v>30840950</v>
      </c>
      <c r="C33">
        <v>30840942</v>
      </c>
      <c r="D33">
        <v>7178752</v>
      </c>
      <c r="E33">
        <v>7157832</v>
      </c>
      <c r="F33">
        <v>1</v>
      </c>
      <c r="G33">
        <v>7157832</v>
      </c>
      <c r="H33">
        <v>3</v>
      </c>
      <c r="I33" t="s">
        <v>245</v>
      </c>
      <c r="K33" t="s">
        <v>250</v>
      </c>
      <c r="L33">
        <v>1339</v>
      </c>
      <c r="N33">
        <v>1007</v>
      </c>
      <c r="O33" t="s">
        <v>59</v>
      </c>
      <c r="P33" t="s">
        <v>59</v>
      </c>
      <c r="Q33">
        <v>1</v>
      </c>
      <c r="X33">
        <v>2.604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G33">
        <v>2.604</v>
      </c>
      <c r="AH33">
        <v>3</v>
      </c>
      <c r="AI33">
        <v>-1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ROW(Source!A40)</f>
        <v>40</v>
      </c>
      <c r="B34">
        <v>30840956</v>
      </c>
      <c r="C34">
        <v>30840955</v>
      </c>
      <c r="D34">
        <v>7157835</v>
      </c>
      <c r="E34">
        <v>7157832</v>
      </c>
      <c r="F34">
        <v>1</v>
      </c>
      <c r="G34">
        <v>7157832</v>
      </c>
      <c r="H34">
        <v>1</v>
      </c>
      <c r="I34" t="s">
        <v>171</v>
      </c>
      <c r="K34" t="s">
        <v>172</v>
      </c>
      <c r="L34">
        <v>1191</v>
      </c>
      <c r="N34">
        <v>1013</v>
      </c>
      <c r="O34" t="s">
        <v>173</v>
      </c>
      <c r="P34" t="s">
        <v>173</v>
      </c>
      <c r="Q34">
        <v>1</v>
      </c>
      <c r="X34">
        <v>22.3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1</v>
      </c>
      <c r="AF34" t="s">
        <v>52</v>
      </c>
      <c r="AG34">
        <v>25.645</v>
      </c>
      <c r="AH34">
        <v>2</v>
      </c>
      <c r="AI34">
        <v>30840956</v>
      </c>
      <c r="AJ34">
        <v>35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ROW(Source!A40)</f>
        <v>40</v>
      </c>
      <c r="B35">
        <v>30840957</v>
      </c>
      <c r="C35">
        <v>30840955</v>
      </c>
      <c r="D35">
        <v>7159942</v>
      </c>
      <c r="E35">
        <v>7157832</v>
      </c>
      <c r="F35">
        <v>1</v>
      </c>
      <c r="G35">
        <v>7157832</v>
      </c>
      <c r="H35">
        <v>2</v>
      </c>
      <c r="I35" t="s">
        <v>175</v>
      </c>
      <c r="K35" t="s">
        <v>176</v>
      </c>
      <c r="L35">
        <v>1344</v>
      </c>
      <c r="N35">
        <v>1008</v>
      </c>
      <c r="O35" t="s">
        <v>177</v>
      </c>
      <c r="P35" t="s">
        <v>177</v>
      </c>
      <c r="Q35">
        <v>1</v>
      </c>
      <c r="X35">
        <v>16.38</v>
      </c>
      <c r="Y35">
        <v>0</v>
      </c>
      <c r="Z35">
        <v>1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51</v>
      </c>
      <c r="AG35">
        <v>20.474999999999998</v>
      </c>
      <c r="AH35">
        <v>2</v>
      </c>
      <c r="AI35">
        <v>30840957</v>
      </c>
      <c r="AJ35">
        <v>36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ROW(Source!A40)</f>
        <v>40</v>
      </c>
      <c r="B36">
        <v>30840959</v>
      </c>
      <c r="C36">
        <v>30840955</v>
      </c>
      <c r="D36">
        <v>7182707</v>
      </c>
      <c r="E36">
        <v>7157832</v>
      </c>
      <c r="F36">
        <v>1</v>
      </c>
      <c r="G36">
        <v>7157832</v>
      </c>
      <c r="H36">
        <v>3</v>
      </c>
      <c r="I36" t="s">
        <v>174</v>
      </c>
      <c r="K36" t="s">
        <v>210</v>
      </c>
      <c r="L36">
        <v>1344</v>
      </c>
      <c r="N36">
        <v>1008</v>
      </c>
      <c r="O36" t="s">
        <v>177</v>
      </c>
      <c r="P36" t="s">
        <v>177</v>
      </c>
      <c r="Q36">
        <v>1</v>
      </c>
      <c r="X36">
        <v>3.5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3.5</v>
      </c>
      <c r="AH36">
        <v>2</v>
      </c>
      <c r="AI36">
        <v>30840959</v>
      </c>
      <c r="AJ36">
        <v>37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ROW(Source!A40)</f>
        <v>40</v>
      </c>
      <c r="B37">
        <v>30840958</v>
      </c>
      <c r="C37">
        <v>30840955</v>
      </c>
      <c r="D37">
        <v>7159178</v>
      </c>
      <c r="E37">
        <v>7157832</v>
      </c>
      <c r="F37">
        <v>1</v>
      </c>
      <c r="G37">
        <v>7157832</v>
      </c>
      <c r="H37">
        <v>3</v>
      </c>
      <c r="I37" t="s">
        <v>251</v>
      </c>
      <c r="K37" t="s">
        <v>252</v>
      </c>
      <c r="L37">
        <v>1348</v>
      </c>
      <c r="N37">
        <v>1009</v>
      </c>
      <c r="O37" t="s">
        <v>23</v>
      </c>
      <c r="P37" t="s">
        <v>23</v>
      </c>
      <c r="Q37">
        <v>1000</v>
      </c>
      <c r="X37">
        <v>0.36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G37">
        <v>0.36</v>
      </c>
      <c r="AH37">
        <v>3</v>
      </c>
      <c r="AI37">
        <v>-1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ROW(Source!A42)</f>
        <v>42</v>
      </c>
      <c r="B38">
        <v>30840972</v>
      </c>
      <c r="C38">
        <v>30840971</v>
      </c>
      <c r="D38">
        <v>7157835</v>
      </c>
      <c r="E38">
        <v>7157832</v>
      </c>
      <c r="F38">
        <v>1</v>
      </c>
      <c r="G38">
        <v>7157832</v>
      </c>
      <c r="H38">
        <v>1</v>
      </c>
      <c r="I38" t="s">
        <v>171</v>
      </c>
      <c r="K38" t="s">
        <v>172</v>
      </c>
      <c r="L38">
        <v>1191</v>
      </c>
      <c r="N38">
        <v>1013</v>
      </c>
      <c r="O38" t="s">
        <v>173</v>
      </c>
      <c r="P38" t="s">
        <v>173</v>
      </c>
      <c r="Q38">
        <v>1</v>
      </c>
      <c r="X38">
        <v>13.2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1</v>
      </c>
      <c r="AF38" t="s">
        <v>52</v>
      </c>
      <c r="AG38">
        <v>15.179999999999998</v>
      </c>
      <c r="AH38">
        <v>2</v>
      </c>
      <c r="AI38">
        <v>30840972</v>
      </c>
      <c r="AJ38">
        <v>39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ROW(Source!A42)</f>
        <v>42</v>
      </c>
      <c r="B39">
        <v>30840973</v>
      </c>
      <c r="C39">
        <v>30840971</v>
      </c>
      <c r="D39">
        <v>7231421</v>
      </c>
      <c r="E39">
        <v>1</v>
      </c>
      <c r="F39">
        <v>1</v>
      </c>
      <c r="G39">
        <v>7157832</v>
      </c>
      <c r="H39">
        <v>2</v>
      </c>
      <c r="I39" t="s">
        <v>198</v>
      </c>
      <c r="J39" t="s">
        <v>199</v>
      </c>
      <c r="K39" t="s">
        <v>200</v>
      </c>
      <c r="L39">
        <v>1368</v>
      </c>
      <c r="N39">
        <v>1011</v>
      </c>
      <c r="O39" t="s">
        <v>181</v>
      </c>
      <c r="P39" t="s">
        <v>181</v>
      </c>
      <c r="Q39">
        <v>1</v>
      </c>
      <c r="X39">
        <v>0.11</v>
      </c>
      <c r="Y39">
        <v>0</v>
      </c>
      <c r="Z39">
        <v>74.44</v>
      </c>
      <c r="AA39">
        <v>17.59</v>
      </c>
      <c r="AB39">
        <v>0</v>
      </c>
      <c r="AC39">
        <v>0</v>
      </c>
      <c r="AD39">
        <v>1</v>
      </c>
      <c r="AE39">
        <v>0</v>
      </c>
      <c r="AF39" t="s">
        <v>51</v>
      </c>
      <c r="AG39">
        <v>0.1375</v>
      </c>
      <c r="AH39">
        <v>2</v>
      </c>
      <c r="AI39">
        <v>30840973</v>
      </c>
      <c r="AJ39">
        <v>40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ROW(Source!A42)</f>
        <v>42</v>
      </c>
      <c r="B40">
        <v>30840974</v>
      </c>
      <c r="C40">
        <v>30840971</v>
      </c>
      <c r="D40">
        <v>7230911</v>
      </c>
      <c r="E40">
        <v>1</v>
      </c>
      <c r="F40">
        <v>1</v>
      </c>
      <c r="G40">
        <v>7157832</v>
      </c>
      <c r="H40">
        <v>2</v>
      </c>
      <c r="I40" t="s">
        <v>221</v>
      </c>
      <c r="J40" t="s">
        <v>222</v>
      </c>
      <c r="K40" t="s">
        <v>223</v>
      </c>
      <c r="L40">
        <v>1368</v>
      </c>
      <c r="N40">
        <v>1011</v>
      </c>
      <c r="O40" t="s">
        <v>181</v>
      </c>
      <c r="P40" t="s">
        <v>181</v>
      </c>
      <c r="Q40">
        <v>1</v>
      </c>
      <c r="X40">
        <v>0.21</v>
      </c>
      <c r="Y40">
        <v>0</v>
      </c>
      <c r="Z40">
        <v>1.28</v>
      </c>
      <c r="AA40">
        <v>0.67</v>
      </c>
      <c r="AB40">
        <v>0</v>
      </c>
      <c r="AC40">
        <v>0</v>
      </c>
      <c r="AD40">
        <v>1</v>
      </c>
      <c r="AE40">
        <v>0</v>
      </c>
      <c r="AF40" t="s">
        <v>51</v>
      </c>
      <c r="AG40">
        <v>0.2625</v>
      </c>
      <c r="AH40">
        <v>2</v>
      </c>
      <c r="AI40">
        <v>30840974</v>
      </c>
      <c r="AJ40">
        <v>41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ROW(Source!A42)</f>
        <v>42</v>
      </c>
      <c r="B41">
        <v>30840975</v>
      </c>
      <c r="C41">
        <v>30840971</v>
      </c>
      <c r="D41">
        <v>7231824</v>
      </c>
      <c r="E41">
        <v>1</v>
      </c>
      <c r="F41">
        <v>1</v>
      </c>
      <c r="G41">
        <v>7157832</v>
      </c>
      <c r="H41">
        <v>3</v>
      </c>
      <c r="I41" t="s">
        <v>224</v>
      </c>
      <c r="J41" t="s">
        <v>225</v>
      </c>
      <c r="K41" t="s">
        <v>226</v>
      </c>
      <c r="L41">
        <v>1346</v>
      </c>
      <c r="N41">
        <v>1009</v>
      </c>
      <c r="O41" t="s">
        <v>220</v>
      </c>
      <c r="P41" t="s">
        <v>220</v>
      </c>
      <c r="Q41">
        <v>1</v>
      </c>
      <c r="X41">
        <v>0.41</v>
      </c>
      <c r="Y41">
        <v>1.61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0.41</v>
      </c>
      <c r="AH41">
        <v>2</v>
      </c>
      <c r="AI41">
        <v>30840975</v>
      </c>
      <c r="AJ41">
        <v>42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ROW(Source!A42)</f>
        <v>42</v>
      </c>
      <c r="B42">
        <v>30840976</v>
      </c>
      <c r="C42">
        <v>30840971</v>
      </c>
      <c r="D42">
        <v>7233148</v>
      </c>
      <c r="E42">
        <v>1</v>
      </c>
      <c r="F42">
        <v>1</v>
      </c>
      <c r="G42">
        <v>7157832</v>
      </c>
      <c r="H42">
        <v>3</v>
      </c>
      <c r="I42" t="s">
        <v>227</v>
      </c>
      <c r="J42" t="s">
        <v>228</v>
      </c>
      <c r="K42" t="s">
        <v>229</v>
      </c>
      <c r="L42">
        <v>1348</v>
      </c>
      <c r="N42">
        <v>1009</v>
      </c>
      <c r="O42" t="s">
        <v>23</v>
      </c>
      <c r="P42" t="s">
        <v>23</v>
      </c>
      <c r="Q42">
        <v>1000</v>
      </c>
      <c r="X42">
        <v>0.012</v>
      </c>
      <c r="Y42">
        <v>10697.76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0.012</v>
      </c>
      <c r="AH42">
        <v>2</v>
      </c>
      <c r="AI42">
        <v>30840976</v>
      </c>
      <c r="AJ42">
        <v>43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ROW(Source!A42)</f>
        <v>42</v>
      </c>
      <c r="B43">
        <v>30840977</v>
      </c>
      <c r="C43">
        <v>30840971</v>
      </c>
      <c r="D43">
        <v>7231877</v>
      </c>
      <c r="E43">
        <v>1</v>
      </c>
      <c r="F43">
        <v>1</v>
      </c>
      <c r="G43">
        <v>7157832</v>
      </c>
      <c r="H43">
        <v>3</v>
      </c>
      <c r="I43" t="s">
        <v>230</v>
      </c>
      <c r="J43" t="s">
        <v>231</v>
      </c>
      <c r="K43" t="s">
        <v>232</v>
      </c>
      <c r="L43">
        <v>1348</v>
      </c>
      <c r="N43">
        <v>1009</v>
      </c>
      <c r="O43" t="s">
        <v>23</v>
      </c>
      <c r="P43" t="s">
        <v>23</v>
      </c>
      <c r="Q43">
        <v>1000</v>
      </c>
      <c r="X43">
        <v>0.015</v>
      </c>
      <c r="Y43">
        <v>11449.85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0.015</v>
      </c>
      <c r="AH43">
        <v>2</v>
      </c>
      <c r="AI43">
        <v>30840977</v>
      </c>
      <c r="AJ43">
        <v>44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ROW(Source!A42)</f>
        <v>42</v>
      </c>
      <c r="B44">
        <v>30840978</v>
      </c>
      <c r="C44">
        <v>30840971</v>
      </c>
      <c r="D44">
        <v>7232450</v>
      </c>
      <c r="E44">
        <v>1</v>
      </c>
      <c r="F44">
        <v>1</v>
      </c>
      <c r="G44">
        <v>7157832</v>
      </c>
      <c r="H44">
        <v>3</v>
      </c>
      <c r="I44" t="s">
        <v>233</v>
      </c>
      <c r="J44" t="s">
        <v>234</v>
      </c>
      <c r="K44" t="s">
        <v>235</v>
      </c>
      <c r="L44">
        <v>1348</v>
      </c>
      <c r="N44">
        <v>1009</v>
      </c>
      <c r="O44" t="s">
        <v>23</v>
      </c>
      <c r="P44" t="s">
        <v>23</v>
      </c>
      <c r="Q44">
        <v>1000</v>
      </c>
      <c r="X44">
        <v>0.00024</v>
      </c>
      <c r="Y44">
        <v>176.5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0.00024</v>
      </c>
      <c r="AH44">
        <v>2</v>
      </c>
      <c r="AI44">
        <v>30840978</v>
      </c>
      <c r="AJ44">
        <v>46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ROW(Source!A42)</f>
        <v>42</v>
      </c>
      <c r="B45">
        <v>30840979</v>
      </c>
      <c r="C45">
        <v>30840971</v>
      </c>
      <c r="D45">
        <v>7232675</v>
      </c>
      <c r="E45">
        <v>1</v>
      </c>
      <c r="F45">
        <v>1</v>
      </c>
      <c r="G45">
        <v>7157832</v>
      </c>
      <c r="H45">
        <v>3</v>
      </c>
      <c r="I45" t="s">
        <v>236</v>
      </c>
      <c r="J45" t="s">
        <v>237</v>
      </c>
      <c r="K45" t="s">
        <v>238</v>
      </c>
      <c r="L45">
        <v>1348</v>
      </c>
      <c r="N45">
        <v>1009</v>
      </c>
      <c r="O45" t="s">
        <v>23</v>
      </c>
      <c r="P45" t="s">
        <v>23</v>
      </c>
      <c r="Q45">
        <v>1000</v>
      </c>
      <c r="X45">
        <v>0.01</v>
      </c>
      <c r="Y45">
        <v>12534.98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0.01</v>
      </c>
      <c r="AH45">
        <v>2</v>
      </c>
      <c r="AI45">
        <v>30840979</v>
      </c>
      <c r="AJ45">
        <v>47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ROW(Source!A42)</f>
        <v>42</v>
      </c>
      <c r="B46">
        <v>30840980</v>
      </c>
      <c r="C46">
        <v>30840971</v>
      </c>
      <c r="D46">
        <v>7164246</v>
      </c>
      <c r="E46">
        <v>7157832</v>
      </c>
      <c r="F46">
        <v>1</v>
      </c>
      <c r="G46">
        <v>7157832</v>
      </c>
      <c r="H46">
        <v>3</v>
      </c>
      <c r="I46" t="s">
        <v>253</v>
      </c>
      <c r="K46" t="s">
        <v>254</v>
      </c>
      <c r="L46">
        <v>1348</v>
      </c>
      <c r="N46">
        <v>1009</v>
      </c>
      <c r="O46" t="s">
        <v>23</v>
      </c>
      <c r="P46" t="s">
        <v>23</v>
      </c>
      <c r="Q46">
        <v>1000</v>
      </c>
      <c r="X46">
        <v>0.059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G46">
        <v>0.059</v>
      </c>
      <c r="AH46">
        <v>3</v>
      </c>
      <c r="AI46">
        <v>-1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2016-08-22T09:01:31Z</cp:lastPrinted>
  <dcterms:created xsi:type="dcterms:W3CDTF">2016-08-22T09:03:01Z</dcterms:created>
  <dcterms:modified xsi:type="dcterms:W3CDTF">2016-11-22T13:52:20Z</dcterms:modified>
  <cp:category/>
  <cp:version/>
  <cp:contentType/>
  <cp:contentStatus/>
</cp:coreProperties>
</file>