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7735539994-suppliers-94" sheetId="1" r:id="rId1"/>
  </sheets>
  <definedNames/>
  <calcPr fullCalcOnLoad="1"/>
</workbook>
</file>

<file path=xl/sharedStrings.xml><?xml version="1.0" encoding="utf-8"?>
<sst xmlns="http://schemas.openxmlformats.org/spreadsheetml/2006/main" count="371" uniqueCount="153">
  <si>
    <t>Номер реестровой записи</t>
  </si>
  <si>
    <t>ИНН поставщика</t>
  </si>
  <si>
    <t>Поставщик</t>
  </si>
  <si>
    <t>Предмет контракта</t>
  </si>
  <si>
    <t>Цена</t>
  </si>
  <si>
    <t>Дата подписания</t>
  </si>
  <si>
    <t>Срок исполнения</t>
  </si>
  <si>
    <t>Статус контракта</t>
  </si>
  <si>
    <t>Услуги по управлению эксплуатацией нежилого фонда, предоставляемые за вознаграждение или на договорной основе</t>
  </si>
  <si>
    <t>Исполнение</t>
  </si>
  <si>
    <t>Выполнение работ по содержанию произведений монументального искусства, воинских захоронений и прилегающих к ним территорий в  Зеленоградском АО г. Москвы на 2014год.</t>
  </si>
  <si>
    <t>Выполнение работ по благоустройству дворовых территорий районов Силино, Старое Крюково и Крюково Зеленоградского АО г.Москвы в рамках средств стимулирования управ районов.</t>
  </si>
  <si>
    <t>Запрос котировок цен на право заключения контракта на выполнение работ  по содержанию и эксплуатации спортивных площадок района Савелки Зеленоградского АО города Москвы.</t>
  </si>
  <si>
    <t>Выполнение работ по обустройству объектов в рамках реализации пилотного проекта на территории района Крюково Зеленоградского АО г.Москвы.</t>
  </si>
  <si>
    <t>Исполнение завершено</t>
  </si>
  <si>
    <t>Выполнение работ по восстановлению территории после сноса самовольных и бесхозяйных объектов в районе Крюково Зеленоградского АО.</t>
  </si>
  <si>
    <t>Выполнение работ по ремонту конструктивных элементов в многоквартирных жилых домах в 10 и 11 микрорайонах района Силино Зеленоградского АО города Москвы.</t>
  </si>
  <si>
    <t>Выполнение работ по ремонту эвакуационных выходов многоквартирных жилых домов 11 микрорайона  района Силино  Зеленоградского АО  города Москвы.</t>
  </si>
  <si>
    <t>Выполнение работ по ремонту эвакуационных выходов многоквартирных жилых домов 10, 12 микрорайонов района Силино  Зеленоградского АО  города Москвы.</t>
  </si>
  <si>
    <t>Выполнение работ по переводу на закрытую схему теплоснабжения  многоквартирных жилых домов корпус 1012,1013, 1014, 1015, ул. Гоголя дом11А,11Б,11В района Силино  Зеленоградского АО  города Москвы.</t>
  </si>
  <si>
    <t>На выполнение работ по замене оконных блоков  в  многоквартирном жилом  доме  по адресу: корпус  1004 района Силино Зеленоградского АО  города Москвы.</t>
  </si>
  <si>
    <t>На выполнение работ по содержанию территорий,  непосредственно прилегающих к городским территориям жилой застройки в Зеленоградском АО г. Москвы в 2013 году.</t>
  </si>
  <si>
    <t>Выполнение работ по ремонту асфальтобетонного покрытия картами до 5м2, до 25м2 и от 25м2 до 200м2 на дворовых территориях Зеленоградского административного округа города Москвы.</t>
  </si>
  <si>
    <t>Выполнение работ по ремонту конструктивных элементов в многоквартирных жилых домах районов Матушкино и Старое Крюково Зеленоградского АО города Москвы.</t>
  </si>
  <si>
    <t>Услуги по горячему водоснабжению</t>
  </si>
  <si>
    <t>Выполнение работ по благоустройству территорий объектов образования в Зеленоградском АО города Москвы по адресам:корпус 1464,корпус 1630, корпус 1611, корпус 1609, корпус 2031.</t>
  </si>
  <si>
    <t>Выполнение работ по устройству площадки под установку ротонды на бульваре в 16 микрорайоне "Парк Единство" между корп.1613 и 1634.</t>
  </si>
  <si>
    <t>Выполнение  благоустроительных работ на территории воинского захоронения в  деревне Каменка (проезд 687)  Зеленоградского АО г. Москвы.</t>
  </si>
  <si>
    <t>Выполнение работ по обустройству детской спортивной площади(устройству основания) в поселке Малино-территория по ул.Школьная, между домами 15-19.</t>
  </si>
  <si>
    <t>Выполнение работ в рамках аварийных мероприятий  по замене дверей переходных лоджий в подъездах многоквартирного жилого дома района  Матушкино Зеленоградского административного  округа города Москвы</t>
  </si>
  <si>
    <t>Выполнение работ по благоустройству территорий объектов образования в Зеленоградском АО города Москвы по адресам: корпус 529,корпус 1122.</t>
  </si>
  <si>
    <t>Выполнение работ по благоустройству территорий объектов образования в Зеленоградском АО города Москвы по адресам: корпус 18А, 2-я Пятилетка, корпус 104.</t>
  </si>
  <si>
    <t>Выполнение работ по благоустройству территорий объектов образования в Зеленоградском АО города Москвы по адресам:корпус 341А, корпус 509,корпус 507.</t>
  </si>
  <si>
    <t>Выполнение работ по благоустройству территорий объектов образования в Зеленоградском АО города Москвы по адресам: Березовая аллея д.1А; д.8А, корп.429А; корп.442А;корп.428А.</t>
  </si>
  <si>
    <t>Выполнение работ по благоустройству территорий объектов образования в Зеленоградском АО города Москвы по адресам:корпус 1115, корпус 1214, 1014А,1016.</t>
  </si>
  <si>
    <t>Выполнение работ по благоустройству объекта озеро Школьное, расположенного на территории района Силино Зеленоградского административного округа города Москвы.</t>
  </si>
  <si>
    <t>Выполнение работ по замене дверей переходных лоджий в подъездах многоквартирного жилого дома района Савелки Зеленоградского административного округа города Москвы.</t>
  </si>
  <si>
    <t>Открытый аукцион в электронной форме среди субъектов малого предпринимательства на право заключения  контракта  на  выполнение работ по ремонту  дворовых территорий районов Савелки, Старое Крюково,  Крюково, Силино Зеленоградского АО г. Москвы.</t>
  </si>
  <si>
    <t>Выполнение работ по ремонту инженерных систем и конструктивных элементов  в  многоквартирных жилых домах  районов Савёлки, Матушкино, Старое Крюково, Силино Зеленоградского АО города Москвы.</t>
  </si>
  <si>
    <t>Выполнение работ по монтажу информационных знаков различной направленности на территории Зеленоградского АО г.Москвы.</t>
  </si>
  <si>
    <t>Благоустройство территории индивидуальных домовладений</t>
  </si>
  <si>
    <t>Благоустройство и озеленение</t>
  </si>
  <si>
    <t>Завоз плодородного грунта для благоустройства внутридворовых территорий районов Савелки, Старое Крюково Зеленоградского АО г. Москвы.</t>
  </si>
  <si>
    <t>Выполнение работ по ремонту жилых помещений, переходящих в порядке наследования по закону в собственность города Москвы, и за выбытием граждан в Зеленоградском АО г. Москвы</t>
  </si>
  <si>
    <t>Выполнение работ по понижению уровня газонов до уровня бортового камня на территории Зеленоградского АО г. Москвы.</t>
  </si>
  <si>
    <t>Выполнение работ по ремонту асфальтового покрытия внутридворовых и межквартальных проездов  Зеленоградского АО г. Москвы</t>
  </si>
  <si>
    <t>Выполнение работ по капитальному ремонту дворовых территорий  районов Матушкино,Савелки Зеленоградского АО г. Москвы.</t>
  </si>
  <si>
    <t>Выполнение работ по капитальному ремонту дворовых территорий  района Крюково Зеленоградского АО г. Москвы.</t>
  </si>
  <si>
    <t>Выполнение работ по текущему ремонту дворовых территорий районов Старое Крюково, Силино, Крюково Зеленоградского АО г. Москвы.</t>
  </si>
  <si>
    <t>Выполение работ по текущему ремонту дворовых территорий районов Матушкино, Савелки Зеленоградского АО г. Мосвы.</t>
  </si>
  <si>
    <t>Выполнение работ по ремонту конструктивных элементов в многоквартирных жилых  домах  Зеленоградского АО г. Москвы.</t>
  </si>
  <si>
    <t>Выполнение работ по выборочному капитальному ремонту в многоквартирных жилых домах Зеленоградского АО города Москвы.</t>
  </si>
  <si>
    <t>Выполнение работ по капитальному ремонту дворовых территорий районов Старое Крюково, Силино Зеленоградского АО г. Москвы.</t>
  </si>
  <si>
    <t>Выполнение работ по ремонту дворовой территории корп.360 в рамках обеспечения аварийных работ и мероприятий на территории района Савелки Зеленоградского АО г. Москвы.</t>
  </si>
  <si>
    <t>Выполнение работ по комплексному содержанию территорий 1, 2 микрорайонов, Зеленоградского АО г. Москвы в 2013 г.</t>
  </si>
  <si>
    <t>Выполнение работ по комплексному содержанию территории 10,12 микрорайонов Зеленоградского АО г.Москвы в 2013г.</t>
  </si>
  <si>
    <t>Выполнение работ по комплексному содержанию территории 15 микрорайона Зеленоградского АО г.Москвы в 2013г.</t>
  </si>
  <si>
    <t>Выполнение работ по комплексному содержанию территории 16 микрорайона Зеленоградского АО г. Москвы в 2013 г.</t>
  </si>
  <si>
    <t>Выполнение работ по комплексному содержанию территории 11 микрорайона Зеленоградского АО г.Москвы в 2013г.</t>
  </si>
  <si>
    <t>Выполнение работ по комплексному содержанию территории 14 микрорайона Зеленоградского АО г.Москвы в 2013г.</t>
  </si>
  <si>
    <t>Выполнение работ по комплексному содержанию территории 8 микрорайона Зеленоградского АО г.Москвы.</t>
  </si>
  <si>
    <t>Выполнение работ по комплексному содержанию территорий 9 микрорайона Зеленоградского АО г. Москвы в 2013 г.</t>
  </si>
  <si>
    <t>Выполнение работ по комплексному содержанию территорий 5,6,7 микрорайонов, Зеленоградского АО г. Москвы в 2013 г.</t>
  </si>
  <si>
    <t>Выполнение работ по комплексному содержанию территории 4 микрорайона Зеленоградского АО г.Москвы в 2013г.</t>
  </si>
  <si>
    <t>Выполнение работ по комплексному содержанию территории 3 микрорайона Зеленоградского АО г.Москвы в 2013г.</t>
  </si>
  <si>
    <t>Выполнение работ по комплексному содержанию территорий 18,19 микрорайонов, пятиэтажного жилого фонда района, коттеджного поселка Малино района Крюково Зеленоградского АО г. Москвы в 2013 г.</t>
  </si>
  <si>
    <t>Выполнение работ по комплексному содержанию территории 20 микрорайона Зеленоградского АО г. Москвы в 2013 г.</t>
  </si>
  <si>
    <t>Дорожные работы</t>
  </si>
  <si>
    <t>Выполнение работпо ремонту входных групп по адресу: г. Москва, Зеленоград корпус 2022 (помещение IV) под размещение ГКУ "Дирекция ЖКХиБ ЗелАО"</t>
  </si>
  <si>
    <t>Выполнение противоаварийных работ в местах общего пользования корпуса 241 (замена дверей переходных лоджий) района  Матушкино Зеленоградского административного  округа города Москвы.</t>
  </si>
  <si>
    <t>Выполнение работ по капитальному ремонту  оборудования спортивных площадок и приобретение оборудования  для организации работы и содержания спортивных  площадок  на территориях районов Матушкино, Савелки, Силино и Крюково Зеленоградского  административного округа г.Москвы.</t>
  </si>
  <si>
    <t>Выполнение 1-го этапа работ по перепланировке нежилых помещений по адресу: г. Москва, Зеленоград корпус 2022 (помещение III) под размещение ГКУ "Дирекция ЖКХиБ ЗелАО"</t>
  </si>
  <si>
    <t>Выполнение работ по ремонту площадок для выгула собак на территории Зеленоградского АО города Москвы.</t>
  </si>
  <si>
    <t>Выполнение работ по ремонту конструктивных элементов и устройство пандусов в многоквартирных жилых домах Зеленоградского АО города Москвы.</t>
  </si>
  <si>
    <t>Оказание услуг  по техническому надзору за выполнением работ по капитальному ремонту оборудования спортивных площадок в Зеленоградском АО г. Москвы.</t>
  </si>
  <si>
    <t>Выполнение работ по ремонту ограждений контейнерно-бункерных площадок на дворовых территориях района Силино Зеленоградского АО г. Москвы.</t>
  </si>
  <si>
    <t>Выполнение работ по ремонту дворовых территорий в  Зеленоградском административном округе города Москвы.</t>
  </si>
  <si>
    <t>Выполнение работ по ремонту территорий, прилегающих к велодорожке в 8 микрорайоне, установке опор освещения и МАФ Зеленоградского АО г. Москвы.</t>
  </si>
  <si>
    <t>Выполнение работ по ремонту конструктивных элементов в многоквартирном жилом доме Зеленоградского АО города Москвы.</t>
  </si>
  <si>
    <t>Выполнение работ по замене оконных блоков в подъездах многоквартирных жилых домов Зеленоградского административного округа города Москвы.</t>
  </si>
  <si>
    <t>Выполнение работ по заполнению дверных проемов в корп.2022 под размещение ГКУ "Дирекция ЖКХиБ ЗелАО"</t>
  </si>
  <si>
    <t>Выполнение работ по санитарному содержанию неучтенных  внутридворовых  территорий Зеленоградского административного округа города Москвы.</t>
  </si>
  <si>
    <t>Выполнение работ   по капитальному ремонту инженерных систем в жилых домах  Зеленоградского АО г. Москвы.</t>
  </si>
  <si>
    <t>Выполнение работ по ремонту кровельного покрытия жилых домов Зеленоградского АО г.Москвы</t>
  </si>
  <si>
    <t>Выполнение  2-ого этапа работ по ремонту нежилых помещений в корп.2022 под размещение ГУ «ИС Зел АО»</t>
  </si>
  <si>
    <t>Выполнение работ по ремонту дво-ровых территорий в Зеленоградском административном округе города Москвы.</t>
  </si>
  <si>
    <t>Выполнение работ по содержанию цветочного оформления внутридворовых территорий Зеленоградского АО г. Москвы.</t>
  </si>
  <si>
    <t>ООО "СтройТех"</t>
  </si>
  <si>
    <t>Выполнение работ   по разделению учета электроэнергии, замене электрооборудования ВРУ и завершения работ по переводу с газа на электроплиты в жилых домах Зеленоградского АО г. Москвы.</t>
  </si>
  <si>
    <t>ООО "Импульс"</t>
  </si>
  <si>
    <t>Выполнение работ по устройству дополнительных парковочных мест на дворовых территориях Зеленоградского АО г. Москвы</t>
  </si>
  <si>
    <t>Выполнение работ по капитальному ремонту зеленых насаждений 2 категории содержания Зеленоградского АО г. Москвы в 2012 г.</t>
  </si>
  <si>
    <t>Выполнение работ по замене квартирных стояков канализации и внутридомовой системы водостоков (стояков) в многоквартирных жилых домах № 706,707,708,709,710 района Савелки Зеленоградского АО г. Москвы</t>
  </si>
  <si>
    <t>Выполнение работ по капитальному ремонту кровельного покрытия в жилых домах районов Матушкино, Силино Зеленоградского АО г. Москвы</t>
  </si>
  <si>
    <t>Открытый аукцион в электронной форме среди субъектов малого предпринимательства  на право заключения контракта на оказание услуг по осуществлению технического надзора за выполнением работ по ремонту дворовых территорий, устройству дополнительных парковочных мест на дворовых территориях, обустройству дворовых территорий, приведению в порядок подъездов и выборочному капитальному ремонту в многоквартирных жилых домах Зеленоградского АО г. Москвы</t>
  </si>
  <si>
    <t>Выполнение работ по капитальному ремонту кровельного покрытия в жилых домах районов Силино, Крюково Зеленоградского АО города Москвы.</t>
  </si>
  <si>
    <t>Выполнение работ по приведению в порядок подъездов многоквартирных  домов района Силино Зеленоградского АО г. Москвы</t>
  </si>
  <si>
    <t>Выполнение работ по приведению в порядок подъездов многоквартирных  домов 1-го микрорайона района Матушкино Зеленоградского АО г. Москвы</t>
  </si>
  <si>
    <t>Выполнение работ по капитальному ремонту кровельного покрытия в жилых домах районов Матушкино, Савелки, Старое Крюково  Зеленоградского АО г. Москвы.</t>
  </si>
  <si>
    <t>Поставка и замена электроплит в многоквартирных жилых домах Зеленоградского АО города Москвы.</t>
  </si>
  <si>
    <t>Выполнение работ по ремонту дворовых территорий района Силино Зеленоградского АО г. Москвы</t>
  </si>
  <si>
    <t>ООО «ДЭЗ Савелки 1»</t>
  </si>
  <si>
    <t>Выполнение работ по ремонту дворовых территорий 3 микрорайона района Савелки Зеленоградского АО г. Москвы</t>
  </si>
  <si>
    <t>Выполнение работ по ремонту дворовых территорий района Старое Крюково Зеленоградского АО г. Москвы</t>
  </si>
  <si>
    <t>Выполнение работ по ремонту дворовых территорий района Савелки Зеленоградского АО г. Москвы</t>
  </si>
  <si>
    <t>Выполнение работ по ремонту дворовых территорий 14,15, 16 микрорайонов, ул. 1-го Мая д.2, коттетджного поселка Малино района Крюково Зеленоградского АО г. Москвы</t>
  </si>
  <si>
    <t>Выполнение работ по ремонту дворовых территорий района Матушкино Зеленоградского АО г. Москвы</t>
  </si>
  <si>
    <t>Выполнение работ по ремонту дворовых территорий 18, 20 микрорайонов района Крюково Зеленоградского АО г. Москвы</t>
  </si>
  <si>
    <t>Выполнение работ по ремонту дворовых территорий Зеленоградского АО г. Москвы</t>
  </si>
  <si>
    <t>Выполнение работ по замене квартирных стояков канализации в многоквартирном жилом доме корп.709 района Савелки Зеленоградского АО города Москвы.</t>
  </si>
  <si>
    <t>Выполнение работ по ремонту приквартирных холлов в многоквартирном доме корп. 360 района Савелки  Зеленоградского АО г. Москвы</t>
  </si>
  <si>
    <t>Выполнение работ по обустройству дворовых территорий районов Матушкино, Савелки, Старое Крюково, Силино Зеленоградского АО г. Москвы</t>
  </si>
  <si>
    <t>Выполнение работ по приведению в порядок подъездов многоквартирных  домов районов Матушкино, Савелки, Старое Крюково, Силино Зеленоградского АО г. Москвы</t>
  </si>
  <si>
    <t>Выполнение работ по приведению в порядок подъездов многоквартирных домов в 4-м микрорайоне района Матушкино Зеленоградского АО г. Москвы</t>
  </si>
  <si>
    <t>Выполнение работ по обустройству детских площадок на дворовых территориях района Крюково Зеленоградского АО г. Москвы</t>
  </si>
  <si>
    <t>Выполнение работ по приведению в порядок подъездов многоквартирных  домов района Крюково Зеленоградского АО г. Москвы</t>
  </si>
  <si>
    <t>Выполнение работ по приведению в порядок подъездов многоквартирных домов района Крюково Зеленоградского АО г. Москвы</t>
  </si>
  <si>
    <t>Выполнение работ по приведению в порядок подъездов многоквартирных  домов районов Савелки, Старое Крюково Зеленоградского АО г. Москвы</t>
  </si>
  <si>
    <t>Выполнение работ по санитарному содержанию дворовых территорий, внутридворовых проездов 20 микрорайона Зеленоградского административного округа города Москвы</t>
  </si>
  <si>
    <t>ООО "Конти"</t>
  </si>
  <si>
    <t>Выполнение работ по санитарному содержанию дворовых территорий, внутридворовых проездов 11, 12 микрорайонов Зеленоградского административного округа города Москвы</t>
  </si>
  <si>
    <t>Выполнение  работ по санитарному содержанию дворовых территорий, внутридворовых проездов 14 микрорайона Зеленоградского административного округа города Москвы.</t>
  </si>
  <si>
    <t>Выполнение работ по санитарному содержанию дворовых территорий, внутридворовых проездов 4 микрорайона Зеленоградского административного округа города Москвы</t>
  </si>
  <si>
    <t>Выполнение работ по санитарному содержанию дворовых территорий, внутридворовых проездов 15 микрорайона Зеленоградского административного округа города Москвы</t>
  </si>
  <si>
    <t>Выполнение работ по санитарному содержанию дворовых территорий, внутридворовых проездов 1, 2 микрорайонов Зеленоградского административного округа города Москвы.</t>
  </si>
  <si>
    <t>Выполнение работ по санитарному содержанию дворовых территорий, внутридворовых проездов 18 микрорайона, у корпуса 1925, в пятиэтажном жилом фонде и коттеджном поселке Малино  Зеленоградского административного округа города Москвы.</t>
  </si>
  <si>
    <t>Выполнение работ по санитарному содержанию дворовых территорий, внутридворовых проездов 10 микрорайона Зеленоградского административного округа города Москвы.</t>
  </si>
  <si>
    <t>Выполнение работ по санитарному содержанию дворовых территории, внутридворовых проездов 16 микрорайона Зеленоградского административного округа города Москвы</t>
  </si>
  <si>
    <t>Выполнение работ по санитарному содержанию дворовых территорий, внутридворовых проездов 3 микрорайона Зеленоградского административного округа города Москвы</t>
  </si>
  <si>
    <t>Выполнение работ по санитарному содержанию дворовых территории, внутридворовых проездов 5, 6, 7 микрорайонов Зеленоградского административного округа города Москвы</t>
  </si>
  <si>
    <t>ООО "Аверс"</t>
  </si>
  <si>
    <t>ООО "АртДизайн"</t>
  </si>
  <si>
    <t>ООО "Аспект"</t>
  </si>
  <si>
    <t>ООО "Дирекция эксплуатации зданий Панфиловского района"</t>
  </si>
  <si>
    <t>ООО "Дирекция эксплуатации зданий района Матушкино-Савёлки"</t>
  </si>
  <si>
    <t>ООО "ДЭЗ Матушкино 4"</t>
  </si>
  <si>
    <t>ООО "Крокус"</t>
  </si>
  <si>
    <t>ООО "МЕРИДИАН"</t>
  </si>
  <si>
    <t>ООО "Миракли"</t>
  </si>
  <si>
    <t>ООО "НеоЛайн"</t>
  </si>
  <si>
    <t>ООО "Перспектива"</t>
  </si>
  <si>
    <t>ООО "Промресурс"</t>
  </si>
  <si>
    <t>ООО "ПрофРезерв"</t>
  </si>
  <si>
    <t>ООО "СмартСтрой"</t>
  </si>
  <si>
    <t>ООО "СПРИНТЕР"</t>
  </si>
  <si>
    <t>ООО "Строй-Трейд"</t>
  </si>
  <si>
    <t>ООО "ТК-Маркет"</t>
  </si>
  <si>
    <t>ООО "УниСервис"</t>
  </si>
  <si>
    <t>ООО "Эдельвейс"</t>
  </si>
  <si>
    <t>ООО "ЛИКС"</t>
  </si>
  <si>
    <t>ООО "Ремонтно-эксплуатационное управление Крюково"</t>
  </si>
  <si>
    <t>ООО "АЛОН"</t>
  </si>
  <si>
    <t>ООО "Айсберг"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</si>
</sst>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8" borderId="7"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2" borderId="0" applyNumberFormat="0" applyBorder="0" applyAlignment="0" applyProtection="0"/>
  </cellStyleXfs>
  <cellXfs count="4">
    <xf numFmtId="0" fontId="0" fillId="0" borderId="0" xfId="0" applyFont="1" applyAlignment="1">
      <alignment/>
    </xf>
    <xf numFmtId="14" fontId="0" fillId="0" borderId="0" xfId="0" applyNumberFormat="1" applyAlignment="1">
      <alignment/>
    </xf>
    <xf numFmtId="17" fontId="0" fillId="0" borderId="0" xfId="0" applyNumberFormat="1" applyAlignment="1">
      <alignment/>
    </xf>
    <xf numFmtId="0" fontId="0" fillId="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2"/>
  <sheetViews>
    <sheetView tabSelected="1" zoomScalePageLayoutView="0" workbookViewId="0" topLeftCell="A1">
      <selection activeCell="A1" sqref="A1"/>
    </sheetView>
  </sheetViews>
  <sheetFormatPr defaultColWidth="9.140625" defaultRowHeight="15"/>
  <cols>
    <col min="1" max="1" width="25.28125" style="3" bestFit="1" customWidth="1"/>
    <col min="2" max="2" width="16.28125" style="0" bestFit="1" customWidth="1"/>
    <col min="3" max="3" width="35.7109375" style="3" customWidth="1"/>
    <col min="4" max="4" width="13.00390625" style="0" customWidth="1"/>
    <col min="5" max="5" width="12.00390625" style="0" bestFit="1" customWidth="1"/>
    <col min="6" max="6" width="16.7109375" style="0" bestFit="1" customWidth="1"/>
    <col min="7" max="7" width="17.00390625" style="0" bestFit="1" customWidth="1"/>
    <col min="8" max="8" width="23.421875" style="0" bestFit="1" customWidth="1"/>
    <col min="9" max="9" width="6.421875" style="0" bestFit="1" customWidth="1"/>
  </cols>
  <sheetData>
    <row r="1" spans="1:8" ht="15">
      <c r="A1" s="3" t="s">
        <v>0</v>
      </c>
      <c r="B1" t="s">
        <v>1</v>
      </c>
      <c r="C1" s="3" t="s">
        <v>2</v>
      </c>
      <c r="D1" t="s">
        <v>3</v>
      </c>
      <c r="E1" t="s">
        <v>4</v>
      </c>
      <c r="F1" t="s">
        <v>5</v>
      </c>
      <c r="G1" t="s">
        <v>6</v>
      </c>
      <c r="H1" t="s">
        <v>7</v>
      </c>
    </row>
    <row r="2" spans="1:8" ht="15">
      <c r="A2" s="3" t="str">
        <f>"0373200012313000109"</f>
        <v>0373200012313000109</v>
      </c>
      <c r="B2" t="str">
        <f>"7704792490"</f>
        <v>7704792490</v>
      </c>
      <c r="C2" s="3" t="s">
        <v>151</v>
      </c>
      <c r="D2" t="s">
        <v>17</v>
      </c>
      <c r="E2">
        <f>1639082956/100</f>
        <v>16390829.56</v>
      </c>
      <c r="F2" s="1">
        <v>41526</v>
      </c>
      <c r="G2" s="2">
        <v>41609</v>
      </c>
      <c r="H2" t="s">
        <v>9</v>
      </c>
    </row>
    <row r="3" spans="1:8" ht="15">
      <c r="A3" s="3" t="str">
        <f>"0373200012313000041"</f>
        <v>0373200012313000041</v>
      </c>
      <c r="B3" t="str">
        <f>"7704792490"</f>
        <v>7704792490</v>
      </c>
      <c r="C3" s="3" t="s">
        <v>151</v>
      </c>
      <c r="D3" t="s">
        <v>29</v>
      </c>
      <c r="E3">
        <f>132998065/100</f>
        <v>1329980.65</v>
      </c>
      <c r="F3" s="1">
        <v>41470</v>
      </c>
      <c r="G3" s="2">
        <v>41609</v>
      </c>
      <c r="H3" t="s">
        <v>9</v>
      </c>
    </row>
    <row r="4" spans="1:8" ht="15">
      <c r="A4" s="3" t="str">
        <f>"0373200012313000063"</f>
        <v>0373200012313000063</v>
      </c>
      <c r="B4" t="str">
        <f>"7704792490"</f>
        <v>7704792490</v>
      </c>
      <c r="C4" s="3" t="s">
        <v>151</v>
      </c>
      <c r="D4" t="s">
        <v>38</v>
      </c>
      <c r="E4">
        <f>762913275/100</f>
        <v>7629132.75</v>
      </c>
      <c r="F4" s="1">
        <v>41407</v>
      </c>
      <c r="G4" s="2">
        <v>41609</v>
      </c>
      <c r="H4" t="s">
        <v>9</v>
      </c>
    </row>
    <row r="5" spans="1:8" ht="15">
      <c r="A5" s="3" t="str">
        <f>"0373200010011000125"</f>
        <v>0373200010011000125</v>
      </c>
      <c r="B5" t="str">
        <f>"7705959335"</f>
        <v>7705959335</v>
      </c>
      <c r="C5" s="3" t="s">
        <v>140</v>
      </c>
      <c r="D5" t="s">
        <v>122</v>
      </c>
      <c r="E5">
        <f>2653031391/100</f>
        <v>26530313.91</v>
      </c>
      <c r="F5" s="1">
        <v>40897</v>
      </c>
      <c r="G5" s="2">
        <v>41244</v>
      </c>
      <c r="H5" t="s">
        <v>14</v>
      </c>
    </row>
    <row r="6" spans="1:8" ht="15">
      <c r="A6" s="3" t="str">
        <f>"0373200010011000123"</f>
        <v>0373200010011000123</v>
      </c>
      <c r="B6" t="str">
        <f>"7705959335"</f>
        <v>7705959335</v>
      </c>
      <c r="C6" s="3" t="s">
        <v>140</v>
      </c>
      <c r="D6" t="s">
        <v>124</v>
      </c>
      <c r="E6">
        <f>3952817235/100</f>
        <v>39528172.35</v>
      </c>
      <c r="F6" s="1">
        <v>40897</v>
      </c>
      <c r="G6" s="2">
        <v>41244</v>
      </c>
      <c r="H6" t="s">
        <v>14</v>
      </c>
    </row>
    <row r="7" spans="1:8" ht="15">
      <c r="A7" s="3" t="str">
        <f>"0373200012313000118"</f>
        <v>0373200012313000118</v>
      </c>
      <c r="B7" t="str">
        <f aca="true" t="shared" si="0" ref="B7:B12">"7706758952"</f>
        <v>7706758952</v>
      </c>
      <c r="C7" s="3" t="s">
        <v>148</v>
      </c>
      <c r="D7" t="s">
        <v>12</v>
      </c>
      <c r="E7">
        <f>47499422/100</f>
        <v>474994.22</v>
      </c>
      <c r="F7" s="1">
        <v>41548</v>
      </c>
      <c r="G7" s="2">
        <v>41609</v>
      </c>
      <c r="H7" t="s">
        <v>9</v>
      </c>
    </row>
    <row r="8" spans="1:8" ht="15">
      <c r="A8" s="3" t="str">
        <f>"0373200012313000042"</f>
        <v>0373200012313000042</v>
      </c>
      <c r="B8" t="str">
        <f t="shared" si="0"/>
        <v>7706758952</v>
      </c>
      <c r="C8" s="3" t="s">
        <v>148</v>
      </c>
      <c r="D8" t="s">
        <v>40</v>
      </c>
      <c r="E8">
        <f>74893758/100</f>
        <v>748937.58</v>
      </c>
      <c r="F8" s="1">
        <v>41360</v>
      </c>
      <c r="G8" s="2">
        <v>41609</v>
      </c>
      <c r="H8" t="s">
        <v>14</v>
      </c>
    </row>
    <row r="9" spans="1:8" ht="15">
      <c r="A9" s="3" t="str">
        <f>"0373200012312000080"</f>
        <v>0373200012312000080</v>
      </c>
      <c r="B9" t="str">
        <f t="shared" si="0"/>
        <v>7706758952</v>
      </c>
      <c r="C9" s="3" t="s">
        <v>148</v>
      </c>
      <c r="D9" t="s">
        <v>54</v>
      </c>
      <c r="E9">
        <f>4131125640/100</f>
        <v>41311256.4</v>
      </c>
      <c r="F9" s="1">
        <v>41236</v>
      </c>
      <c r="G9" s="2">
        <v>41609</v>
      </c>
      <c r="H9" t="s">
        <v>9</v>
      </c>
    </row>
    <row r="10" spans="1:8" ht="15">
      <c r="A10" s="3" t="str">
        <f>"0373200012312000072"</f>
        <v>0373200012312000072</v>
      </c>
      <c r="B10" t="str">
        <f t="shared" si="0"/>
        <v>7706758952</v>
      </c>
      <c r="C10" s="3" t="s">
        <v>148</v>
      </c>
      <c r="D10" t="s">
        <v>62</v>
      </c>
      <c r="E10">
        <f>3394752979/100</f>
        <v>33947529.79</v>
      </c>
      <c r="F10" s="1">
        <v>41236</v>
      </c>
      <c r="G10" s="2">
        <v>41609</v>
      </c>
      <c r="H10" t="s">
        <v>9</v>
      </c>
    </row>
    <row r="11" spans="1:8" ht="15">
      <c r="A11" s="3" t="str">
        <f>"0373200012312000071"</f>
        <v>0373200012312000071</v>
      </c>
      <c r="B11" t="str">
        <f t="shared" si="0"/>
        <v>7706758952</v>
      </c>
      <c r="C11" s="3" t="s">
        <v>148</v>
      </c>
      <c r="D11" t="s">
        <v>63</v>
      </c>
      <c r="E11">
        <f>3058615668/100</f>
        <v>30586156.68</v>
      </c>
      <c r="F11" s="1">
        <v>41236</v>
      </c>
      <c r="G11" s="2">
        <v>41609</v>
      </c>
      <c r="H11" t="s">
        <v>9</v>
      </c>
    </row>
    <row r="12" spans="1:8" ht="15">
      <c r="A12" s="3" t="str">
        <f>"0373200012312000070"</f>
        <v>0373200012312000070</v>
      </c>
      <c r="B12" t="str">
        <f t="shared" si="0"/>
        <v>7706758952</v>
      </c>
      <c r="C12" s="3" t="s">
        <v>148</v>
      </c>
      <c r="D12" t="s">
        <v>64</v>
      </c>
      <c r="E12">
        <f>3432492679/100</f>
        <v>34324926.79</v>
      </c>
      <c r="F12" s="1">
        <v>41236</v>
      </c>
      <c r="G12" s="2">
        <v>41609</v>
      </c>
      <c r="H12" t="s">
        <v>9</v>
      </c>
    </row>
    <row r="13" spans="1:8" ht="15">
      <c r="A13" s="3" t="str">
        <f>"0373200012313000020"</f>
        <v>0373200012313000020</v>
      </c>
      <c r="B13" t="str">
        <f>"7713720607"</f>
        <v>7713720607</v>
      </c>
      <c r="C13" s="3" t="s">
        <v>136</v>
      </c>
      <c r="D13" t="s">
        <v>44</v>
      </c>
      <c r="E13">
        <f>64336097/100</f>
        <v>643360.97</v>
      </c>
      <c r="F13" s="1">
        <v>41344</v>
      </c>
      <c r="G13" s="2">
        <v>41609</v>
      </c>
      <c r="H13" t="s">
        <v>14</v>
      </c>
    </row>
    <row r="14" spans="1:8" ht="15">
      <c r="A14" s="3" t="str">
        <f>"0373200012313000100"</f>
        <v>0373200012313000100</v>
      </c>
      <c r="B14" t="str">
        <f aca="true" t="shared" si="1" ref="B14:B19">"7713733910"</f>
        <v>7713733910</v>
      </c>
      <c r="C14" s="3" t="s">
        <v>141</v>
      </c>
      <c r="D14" t="s">
        <v>21</v>
      </c>
      <c r="E14">
        <f>217740000/100</f>
        <v>2177400</v>
      </c>
      <c r="F14" s="1">
        <v>41513</v>
      </c>
      <c r="G14" s="2">
        <v>41609</v>
      </c>
      <c r="H14" t="s">
        <v>9</v>
      </c>
    </row>
    <row r="15" spans="1:8" ht="15">
      <c r="A15" s="3" t="str">
        <f>"0373200012313000041"</f>
        <v>0373200012313000041</v>
      </c>
      <c r="B15" t="str">
        <f t="shared" si="1"/>
        <v>7713733910</v>
      </c>
      <c r="C15" s="3" t="s">
        <v>141</v>
      </c>
      <c r="D15" t="s">
        <v>40</v>
      </c>
      <c r="E15">
        <f>54182472/100</f>
        <v>541824.72</v>
      </c>
      <c r="F15" s="1">
        <v>41360</v>
      </c>
      <c r="G15" s="2">
        <v>41609</v>
      </c>
      <c r="H15" t="s">
        <v>14</v>
      </c>
    </row>
    <row r="16" spans="1:8" ht="15">
      <c r="A16" s="3" t="str">
        <f>"0373200012312000078"</f>
        <v>0373200012312000078</v>
      </c>
      <c r="B16" t="str">
        <f t="shared" si="1"/>
        <v>7713733910</v>
      </c>
      <c r="C16" s="3" t="s">
        <v>141</v>
      </c>
      <c r="D16" t="s">
        <v>56</v>
      </c>
      <c r="E16">
        <f>2898591065/100</f>
        <v>28985910.65</v>
      </c>
      <c r="F16" s="1">
        <v>41236</v>
      </c>
      <c r="G16" s="2">
        <v>41609</v>
      </c>
      <c r="H16" t="s">
        <v>9</v>
      </c>
    </row>
    <row r="17" spans="1:8" ht="15">
      <c r="A17" s="3" t="str">
        <f>"0373200012312000077"</f>
        <v>0373200012312000077</v>
      </c>
      <c r="B17" t="str">
        <f t="shared" si="1"/>
        <v>7713733910</v>
      </c>
      <c r="C17" s="3" t="s">
        <v>141</v>
      </c>
      <c r="D17" t="s">
        <v>57</v>
      </c>
      <c r="E17">
        <f>3193350928/100</f>
        <v>31933509.28</v>
      </c>
      <c r="F17" s="1">
        <v>41236</v>
      </c>
      <c r="G17" s="2">
        <v>41609</v>
      </c>
      <c r="H17" t="s">
        <v>9</v>
      </c>
    </row>
    <row r="18" spans="1:8" ht="15">
      <c r="A18" s="3" t="str">
        <f>"0373200012312000075"</f>
        <v>0373200012312000075</v>
      </c>
      <c r="B18" t="str">
        <f t="shared" si="1"/>
        <v>7713733910</v>
      </c>
      <c r="C18" s="3" t="s">
        <v>141</v>
      </c>
      <c r="D18" t="s">
        <v>59</v>
      </c>
      <c r="E18">
        <f>3273420758/100</f>
        <v>32734207.58</v>
      </c>
      <c r="F18" s="1">
        <v>41236</v>
      </c>
      <c r="G18" s="2">
        <v>41609</v>
      </c>
      <c r="H18" t="s">
        <v>9</v>
      </c>
    </row>
    <row r="19" spans="1:8" ht="15">
      <c r="A19" s="3" t="str">
        <f>"0373200012312000065"</f>
        <v>0373200012312000065</v>
      </c>
      <c r="B19" t="str">
        <f t="shared" si="1"/>
        <v>7713733910</v>
      </c>
      <c r="C19" s="3" t="s">
        <v>141</v>
      </c>
      <c r="D19" t="s">
        <v>66</v>
      </c>
      <c r="E19">
        <f>2367351523/100</f>
        <v>23673515.23</v>
      </c>
      <c r="F19" s="1">
        <v>41212</v>
      </c>
      <c r="G19" s="2">
        <v>41609</v>
      </c>
      <c r="H19" t="s">
        <v>9</v>
      </c>
    </row>
    <row r="20" spans="1:8" ht="15">
      <c r="A20" s="3" t="str">
        <f>"0373200012312000028"</f>
        <v>0373200012312000028</v>
      </c>
      <c r="B20" t="str">
        <f>"7714805300"</f>
        <v>7714805300</v>
      </c>
      <c r="C20" s="3" t="s">
        <v>143</v>
      </c>
      <c r="D20" t="s">
        <v>78</v>
      </c>
      <c r="E20">
        <f>192672909/100</f>
        <v>1926729.09</v>
      </c>
      <c r="F20" s="1">
        <v>41128</v>
      </c>
      <c r="G20" s="2">
        <v>41244</v>
      </c>
      <c r="H20" t="s">
        <v>14</v>
      </c>
    </row>
    <row r="21" spans="1:8" ht="15">
      <c r="A21" s="3" t="str">
        <f>"0373200012312000021"</f>
        <v>0373200012312000021</v>
      </c>
      <c r="B21" t="str">
        <f>"7714805300"</f>
        <v>7714805300</v>
      </c>
      <c r="C21" s="3" t="s">
        <v>143</v>
      </c>
      <c r="D21" t="s">
        <v>80</v>
      </c>
      <c r="E21">
        <f>41156152/100</f>
        <v>411561.52</v>
      </c>
      <c r="F21" s="1">
        <v>41099</v>
      </c>
      <c r="G21" s="2">
        <v>41244</v>
      </c>
      <c r="H21" t="s">
        <v>14</v>
      </c>
    </row>
    <row r="22" spans="1:8" ht="15">
      <c r="A22" s="3" t="str">
        <f>"0373200012312000007"</f>
        <v>0373200012312000007</v>
      </c>
      <c r="B22" t="str">
        <f>"7714805300"</f>
        <v>7714805300</v>
      </c>
      <c r="C22" s="3" t="s">
        <v>143</v>
      </c>
      <c r="D22" t="s">
        <v>82</v>
      </c>
      <c r="E22">
        <f>3342068642/100</f>
        <v>33420686.42</v>
      </c>
      <c r="F22" s="1">
        <v>41045</v>
      </c>
      <c r="G22" s="2">
        <v>41244</v>
      </c>
      <c r="H22" t="s">
        <v>14</v>
      </c>
    </row>
    <row r="23" spans="1:8" ht="15">
      <c r="A23" s="3" t="str">
        <f>"0373200010012000037"</f>
        <v>0373200010012000037</v>
      </c>
      <c r="B23" t="str">
        <f>"7714805300"</f>
        <v>7714805300</v>
      </c>
      <c r="C23" s="3" t="s">
        <v>143</v>
      </c>
      <c r="D23" t="s">
        <v>92</v>
      </c>
      <c r="E23">
        <f>588502912/100</f>
        <v>5885029.12</v>
      </c>
      <c r="F23" s="1">
        <v>41002</v>
      </c>
      <c r="G23" s="2">
        <v>41244</v>
      </c>
      <c r="H23" t="s">
        <v>14</v>
      </c>
    </row>
    <row r="24" spans="1:8" ht="15">
      <c r="A24" s="3" t="str">
        <f>"0373200010011000127"</f>
        <v>0373200010011000127</v>
      </c>
      <c r="B24" t="str">
        <f>"7714825264"</f>
        <v>7714825264</v>
      </c>
      <c r="C24" s="3" t="s">
        <v>119</v>
      </c>
      <c r="D24" t="s">
        <v>120</v>
      </c>
      <c r="E24">
        <f>4093381573/100</f>
        <v>40933815.73</v>
      </c>
      <c r="F24" s="1">
        <v>40897</v>
      </c>
      <c r="G24" s="2">
        <v>41244</v>
      </c>
      <c r="H24" t="s">
        <v>14</v>
      </c>
    </row>
    <row r="25" spans="1:8" ht="15">
      <c r="A25" s="3" t="str">
        <f>"0373200010011000121"</f>
        <v>0373200010011000121</v>
      </c>
      <c r="B25" t="str">
        <f>"7714825264"</f>
        <v>7714825264</v>
      </c>
      <c r="C25" s="3" t="s">
        <v>119</v>
      </c>
      <c r="D25" t="s">
        <v>126</v>
      </c>
      <c r="E25">
        <f>1765611998/100</f>
        <v>17656119.98</v>
      </c>
      <c r="F25" s="1">
        <v>40897</v>
      </c>
      <c r="G25" s="2">
        <v>41244</v>
      </c>
      <c r="H25" t="s">
        <v>14</v>
      </c>
    </row>
    <row r="26" spans="1:8" ht="15">
      <c r="A26" s="3" t="str">
        <f>"0373200012312000062"</f>
        <v>0373200012312000062</v>
      </c>
      <c r="B26" t="str">
        <f>"7715882240"</f>
        <v>7715882240</v>
      </c>
      <c r="C26" s="3" t="s">
        <v>138</v>
      </c>
      <c r="D26" t="s">
        <v>67</v>
      </c>
      <c r="E26">
        <f>34197032/100</f>
        <v>341970.32</v>
      </c>
      <c r="F26" s="1">
        <v>41176</v>
      </c>
      <c r="G26" s="2">
        <v>41244</v>
      </c>
      <c r="H26" t="s">
        <v>14</v>
      </c>
    </row>
    <row r="27" spans="1:8" ht="15">
      <c r="A27" s="3" t="str">
        <f>"0373200012312000057"</f>
        <v>0373200012312000057</v>
      </c>
      <c r="B27" t="str">
        <f>"7715882240"</f>
        <v>7715882240</v>
      </c>
      <c r="C27" s="3" t="s">
        <v>138</v>
      </c>
      <c r="D27" t="s">
        <v>68</v>
      </c>
      <c r="E27">
        <f>39720756/100</f>
        <v>397207.56</v>
      </c>
      <c r="F27" s="1">
        <v>41162</v>
      </c>
      <c r="G27" s="2">
        <v>41244</v>
      </c>
      <c r="H27" t="s">
        <v>14</v>
      </c>
    </row>
    <row r="28" spans="1:8" ht="15">
      <c r="A28" s="3" t="str">
        <f>"0373200012312000044"</f>
        <v>0373200012312000044</v>
      </c>
      <c r="B28" t="str">
        <f>"7715882240"</f>
        <v>7715882240</v>
      </c>
      <c r="C28" s="3" t="s">
        <v>138</v>
      </c>
      <c r="D28" t="s">
        <v>71</v>
      </c>
      <c r="E28">
        <f>444552741/100</f>
        <v>4445527.41</v>
      </c>
      <c r="F28" s="1">
        <v>41148</v>
      </c>
      <c r="G28" s="2">
        <v>41244</v>
      </c>
      <c r="H28" t="s">
        <v>14</v>
      </c>
    </row>
    <row r="29" spans="1:8" ht="15">
      <c r="A29" s="3" t="str">
        <f>"0373200012312000038"</f>
        <v>0373200012312000038</v>
      </c>
      <c r="B29" t="str">
        <f>"7715882240"</f>
        <v>7715882240</v>
      </c>
      <c r="C29" s="3" t="s">
        <v>138</v>
      </c>
      <c r="D29" t="s">
        <v>73</v>
      </c>
      <c r="E29">
        <f>3418316919/100</f>
        <v>34183169.19</v>
      </c>
      <c r="F29" s="1">
        <v>41137</v>
      </c>
      <c r="G29" s="2">
        <v>41244</v>
      </c>
      <c r="H29" t="s">
        <v>14</v>
      </c>
    </row>
    <row r="30" spans="1:8" ht="15">
      <c r="A30" s="3" t="str">
        <f>"0373200010012000081"</f>
        <v>0373200010012000081</v>
      </c>
      <c r="B30" t="str">
        <f>"7715882240"</f>
        <v>7715882240</v>
      </c>
      <c r="C30" s="3" t="s">
        <v>138</v>
      </c>
      <c r="D30" t="s">
        <v>84</v>
      </c>
      <c r="E30">
        <f>1227174648/100</f>
        <v>12271746.48</v>
      </c>
      <c r="F30" s="1">
        <v>41039</v>
      </c>
      <c r="G30" s="2">
        <v>41244</v>
      </c>
      <c r="H30" t="s">
        <v>14</v>
      </c>
    </row>
    <row r="31" spans="1:8" ht="15">
      <c r="A31" s="3" t="str">
        <f>"0373200012313000124"</f>
        <v>0373200012313000124</v>
      </c>
      <c r="B31" t="str">
        <f>"7716694899"</f>
        <v>7716694899</v>
      </c>
      <c r="C31" s="3" t="s">
        <v>142</v>
      </c>
      <c r="D31" t="s">
        <v>11</v>
      </c>
      <c r="E31">
        <f>434847649/100</f>
        <v>4348476.49</v>
      </c>
      <c r="F31" s="1">
        <v>41554</v>
      </c>
      <c r="G31" s="2">
        <v>41609</v>
      </c>
      <c r="H31" t="s">
        <v>9</v>
      </c>
    </row>
    <row r="32" spans="1:8" ht="15">
      <c r="A32" s="3" t="str">
        <f>"0373200012313000114"</f>
        <v>0373200012313000114</v>
      </c>
      <c r="B32" t="str">
        <f>"7716694899"</f>
        <v>7716694899</v>
      </c>
      <c r="C32" s="3" t="s">
        <v>142</v>
      </c>
      <c r="D32" t="s">
        <v>15</v>
      </c>
      <c r="E32">
        <f>37991550/100</f>
        <v>379915.5</v>
      </c>
      <c r="F32" s="1">
        <v>41537</v>
      </c>
      <c r="G32" s="2">
        <v>41609</v>
      </c>
      <c r="H32" t="s">
        <v>9</v>
      </c>
    </row>
    <row r="33" spans="1:8" ht="15">
      <c r="A33" s="3" t="str">
        <f>"0373200012313000106"</f>
        <v>0373200012313000106</v>
      </c>
      <c r="B33" t="str">
        <f>"7716694899"</f>
        <v>7716694899</v>
      </c>
      <c r="C33" s="3" t="s">
        <v>142</v>
      </c>
      <c r="D33" t="s">
        <v>19</v>
      </c>
      <c r="E33">
        <f>665714303/100</f>
        <v>6657143.03</v>
      </c>
      <c r="F33" s="1">
        <v>41514</v>
      </c>
      <c r="G33" s="2">
        <v>41609</v>
      </c>
      <c r="H33" t="s">
        <v>9</v>
      </c>
    </row>
    <row r="34" spans="1:8" ht="15">
      <c r="A34" s="3" t="str">
        <f>"0373200012313000098"</f>
        <v>0373200012313000098</v>
      </c>
      <c r="B34" t="str">
        <f>"7716694899"</f>
        <v>7716694899</v>
      </c>
      <c r="C34" s="3" t="s">
        <v>142</v>
      </c>
      <c r="D34" t="s">
        <v>22</v>
      </c>
      <c r="E34">
        <f>112473287/100</f>
        <v>1124732.87</v>
      </c>
      <c r="F34" s="1">
        <v>41513</v>
      </c>
      <c r="G34" s="2">
        <v>41609</v>
      </c>
      <c r="H34" t="s">
        <v>9</v>
      </c>
    </row>
    <row r="35" spans="1:8" ht="15">
      <c r="A35" s="3" t="str">
        <f>"0373200012313000057"</f>
        <v>0373200012313000057</v>
      </c>
      <c r="B35" t="str">
        <f>"7716694899"</f>
        <v>7716694899</v>
      </c>
      <c r="C35" s="3" t="s">
        <v>142</v>
      </c>
      <c r="D35" t="s">
        <v>45</v>
      </c>
      <c r="E35">
        <f>2736141700/100</f>
        <v>27361417</v>
      </c>
      <c r="F35" s="1">
        <v>41316</v>
      </c>
      <c r="G35" s="2">
        <v>41609</v>
      </c>
      <c r="H35" t="s">
        <v>9</v>
      </c>
    </row>
    <row r="36" spans="1:8" ht="15">
      <c r="A36" s="3" t="str">
        <f>"0373200012313000023"</f>
        <v>0373200012313000023</v>
      </c>
      <c r="B36" t="str">
        <f aca="true" t="shared" si="2" ref="B36:B41">"7718825280"</f>
        <v>7718825280</v>
      </c>
      <c r="C36" s="3" t="s">
        <v>149</v>
      </c>
      <c r="D36" t="s">
        <v>42</v>
      </c>
      <c r="E36">
        <f>27850000/100</f>
        <v>278500</v>
      </c>
      <c r="F36" s="1">
        <v>41355</v>
      </c>
      <c r="G36" s="2">
        <v>41609</v>
      </c>
      <c r="H36" t="s">
        <v>14</v>
      </c>
    </row>
    <row r="37" spans="1:8" ht="15">
      <c r="A37" s="3" t="str">
        <f>"0373200012313000019"</f>
        <v>0373200012313000019</v>
      </c>
      <c r="B37" t="str">
        <f t="shared" si="2"/>
        <v>7718825280</v>
      </c>
      <c r="C37" s="3" t="s">
        <v>149</v>
      </c>
      <c r="D37" t="s">
        <v>46</v>
      </c>
      <c r="E37">
        <f>3916730940/100</f>
        <v>39167309.4</v>
      </c>
      <c r="F37" s="1">
        <v>41309</v>
      </c>
      <c r="G37" s="2">
        <v>41609</v>
      </c>
      <c r="H37" t="s">
        <v>9</v>
      </c>
    </row>
    <row r="38" spans="1:8" ht="15">
      <c r="A38" s="3" t="str">
        <f>"0373200012313000018"</f>
        <v>0373200012313000018</v>
      </c>
      <c r="B38" t="str">
        <f t="shared" si="2"/>
        <v>7718825280</v>
      </c>
      <c r="C38" s="3" t="s">
        <v>149</v>
      </c>
      <c r="D38" t="s">
        <v>47</v>
      </c>
      <c r="E38">
        <f>3463721420/100</f>
        <v>34637214.2</v>
      </c>
      <c r="F38" s="1">
        <v>41309</v>
      </c>
      <c r="G38" s="2">
        <v>41609</v>
      </c>
      <c r="H38" t="s">
        <v>9</v>
      </c>
    </row>
    <row r="39" spans="1:8" ht="15">
      <c r="A39" s="3" t="str">
        <f>"0373200012312000089"</f>
        <v>0373200012312000089</v>
      </c>
      <c r="B39" t="str">
        <f t="shared" si="2"/>
        <v>7718825280</v>
      </c>
      <c r="C39" s="3" t="s">
        <v>149</v>
      </c>
      <c r="D39" t="s">
        <v>52</v>
      </c>
      <c r="E39">
        <f>2387993448/100</f>
        <v>23879934.48</v>
      </c>
      <c r="F39" s="1">
        <v>41260</v>
      </c>
      <c r="G39" s="2">
        <v>41609</v>
      </c>
      <c r="H39" t="s">
        <v>9</v>
      </c>
    </row>
    <row r="40" spans="1:8" ht="15">
      <c r="A40" s="3" t="str">
        <f>"0373200012312000014"</f>
        <v>0373200012312000014</v>
      </c>
      <c r="B40" t="str">
        <f t="shared" si="2"/>
        <v>7718825280</v>
      </c>
      <c r="C40" s="3" t="s">
        <v>149</v>
      </c>
      <c r="D40" t="s">
        <v>81</v>
      </c>
      <c r="E40">
        <f>305645084/100</f>
        <v>3056450.84</v>
      </c>
      <c r="F40" s="1">
        <v>41082</v>
      </c>
      <c r="G40" s="2">
        <v>41244</v>
      </c>
      <c r="H40" t="s">
        <v>14</v>
      </c>
    </row>
    <row r="41" spans="1:8" ht="15">
      <c r="A41" s="3" t="str">
        <f>"0373200010011000128"</f>
        <v>0373200010011000128</v>
      </c>
      <c r="B41" t="str">
        <f t="shared" si="2"/>
        <v>7718825280</v>
      </c>
      <c r="C41" s="3" t="s">
        <v>149</v>
      </c>
      <c r="D41" t="s">
        <v>118</v>
      </c>
      <c r="E41">
        <f>2333935004/100</f>
        <v>23339350.04</v>
      </c>
      <c r="F41" s="1">
        <v>40897</v>
      </c>
      <c r="G41" s="2">
        <v>41244</v>
      </c>
      <c r="H41" t="s">
        <v>14</v>
      </c>
    </row>
    <row r="42" spans="1:8" ht="15">
      <c r="A42" s="3" t="str">
        <f>"0373200012313000108"</f>
        <v>0373200012313000108</v>
      </c>
      <c r="B42" t="str">
        <f>"7718857429"</f>
        <v>7718857429</v>
      </c>
      <c r="C42" s="3" t="s">
        <v>130</v>
      </c>
      <c r="D42" t="s">
        <v>18</v>
      </c>
      <c r="E42">
        <f>1571728872/100</f>
        <v>15717288.72</v>
      </c>
      <c r="F42" s="1">
        <v>41526</v>
      </c>
      <c r="G42" s="2">
        <v>41609</v>
      </c>
      <c r="H42" t="s">
        <v>9</v>
      </c>
    </row>
    <row r="43" spans="1:8" ht="15">
      <c r="A43" s="3" t="str">
        <f>"0373200012313000066"</f>
        <v>0373200012313000066</v>
      </c>
      <c r="B43" t="str">
        <f>"7718857429"</f>
        <v>7718857429</v>
      </c>
      <c r="C43" s="3" t="s">
        <v>130</v>
      </c>
      <c r="D43" t="s">
        <v>36</v>
      </c>
      <c r="E43">
        <f>47431369/100</f>
        <v>474313.69</v>
      </c>
      <c r="F43" s="1">
        <v>41421</v>
      </c>
      <c r="G43" s="2">
        <v>41609</v>
      </c>
      <c r="H43" t="s">
        <v>9</v>
      </c>
    </row>
    <row r="44" spans="1:8" ht="15">
      <c r="A44" s="3" t="str">
        <f>"0373200012313000006"</f>
        <v>0373200012313000006</v>
      </c>
      <c r="B44" t="str">
        <f>"7718857429"</f>
        <v>7718857429</v>
      </c>
      <c r="C44" s="3" t="s">
        <v>130</v>
      </c>
      <c r="D44" t="s">
        <v>51</v>
      </c>
      <c r="E44">
        <f>4541879414/100</f>
        <v>45418794.14</v>
      </c>
      <c r="F44" s="1">
        <v>41272</v>
      </c>
      <c r="G44" s="2">
        <v>41609</v>
      </c>
      <c r="H44" t="s">
        <v>9</v>
      </c>
    </row>
    <row r="45" spans="1:8" ht="15">
      <c r="A45" s="3" t="str">
        <f>"0373200012312000036"</f>
        <v>0373200012312000036</v>
      </c>
      <c r="B45" t="str">
        <f>"7718862122"</f>
        <v>7718862122</v>
      </c>
      <c r="C45" s="3" t="s">
        <v>144</v>
      </c>
      <c r="D45" t="s">
        <v>74</v>
      </c>
      <c r="E45">
        <f>34325134/100</f>
        <v>343251.34</v>
      </c>
      <c r="F45" s="1">
        <v>41135</v>
      </c>
      <c r="G45" s="2">
        <v>41244</v>
      </c>
      <c r="H45" t="s">
        <v>14</v>
      </c>
    </row>
    <row r="46" spans="1:8" ht="15">
      <c r="A46" s="3" t="str">
        <f>"0373200010012000035"</f>
        <v>0373200010012000035</v>
      </c>
      <c r="B46" t="str">
        <f>"7718862122"</f>
        <v>7718862122</v>
      </c>
      <c r="C46" s="3" t="s">
        <v>144</v>
      </c>
      <c r="D46" t="s">
        <v>94</v>
      </c>
      <c r="E46">
        <f>762549270/100</f>
        <v>7625492.7</v>
      </c>
      <c r="F46" s="1">
        <v>41002</v>
      </c>
      <c r="G46" s="2">
        <v>41244</v>
      </c>
      <c r="H46" t="s">
        <v>14</v>
      </c>
    </row>
    <row r="47" spans="1:8" ht="15">
      <c r="A47" s="3" t="str">
        <f>"0373200012312000003"</f>
        <v>0373200012312000003</v>
      </c>
      <c r="B47" t="str">
        <f>"7724747135"</f>
        <v>7724747135</v>
      </c>
      <c r="C47" s="3" t="s">
        <v>87</v>
      </c>
      <c r="D47" t="s">
        <v>88</v>
      </c>
      <c r="E47">
        <f>268192338/100</f>
        <v>2681923.38</v>
      </c>
      <c r="F47" s="1">
        <v>41031</v>
      </c>
      <c r="G47" s="2">
        <v>41244</v>
      </c>
      <c r="H47" t="s">
        <v>14</v>
      </c>
    </row>
    <row r="48" spans="1:8" ht="15">
      <c r="A48" s="3" t="str">
        <f>"0373200010012000031"</f>
        <v>0373200010012000031</v>
      </c>
      <c r="B48" t="str">
        <f>"7724747135"</f>
        <v>7724747135</v>
      </c>
      <c r="C48" s="3" t="s">
        <v>87</v>
      </c>
      <c r="D48" t="s">
        <v>95</v>
      </c>
      <c r="E48">
        <f>1341130270/100</f>
        <v>13411302.7</v>
      </c>
      <c r="F48" s="1">
        <v>40984</v>
      </c>
      <c r="G48" s="2">
        <v>41153</v>
      </c>
      <c r="H48" t="s">
        <v>9</v>
      </c>
    </row>
    <row r="49" spans="1:8" ht="15">
      <c r="A49" s="3" t="str">
        <f>"0373200010012000027"</f>
        <v>0373200010012000027</v>
      </c>
      <c r="B49" t="str">
        <f>"7724747135"</f>
        <v>7724747135</v>
      </c>
      <c r="C49" s="3" t="s">
        <v>87</v>
      </c>
      <c r="D49" t="s">
        <v>98</v>
      </c>
      <c r="E49">
        <f>1280703537/100</f>
        <v>12807035.37</v>
      </c>
      <c r="F49" s="1">
        <v>40982</v>
      </c>
      <c r="G49" s="2">
        <v>41153</v>
      </c>
      <c r="H49" t="s">
        <v>9</v>
      </c>
    </row>
    <row r="50" spans="1:8" ht="15">
      <c r="A50" s="3" t="str">
        <f>"0373200010012000026"</f>
        <v>0373200010012000026</v>
      </c>
      <c r="B50" t="str">
        <f>"7724747135"</f>
        <v>7724747135</v>
      </c>
      <c r="C50" s="3" t="s">
        <v>87</v>
      </c>
      <c r="D50" t="s">
        <v>99</v>
      </c>
      <c r="E50">
        <f>146283224/100</f>
        <v>1462832.24</v>
      </c>
      <c r="F50" s="1">
        <v>40980</v>
      </c>
      <c r="G50" s="2">
        <v>41122</v>
      </c>
      <c r="H50" t="s">
        <v>9</v>
      </c>
    </row>
    <row r="51" spans="1:8" ht="15">
      <c r="A51" s="3" t="str">
        <f>"0373200010012000073"</f>
        <v>0373200010012000073</v>
      </c>
      <c r="B51" t="str">
        <f>"7726675006"</f>
        <v>7726675006</v>
      </c>
      <c r="C51" s="3" t="s">
        <v>137</v>
      </c>
      <c r="D51" t="s">
        <v>86</v>
      </c>
      <c r="E51">
        <f>1122147818/100</f>
        <v>11221478.18</v>
      </c>
      <c r="F51" s="1">
        <v>41039</v>
      </c>
      <c r="G51" s="2">
        <v>41244</v>
      </c>
      <c r="H51" t="s">
        <v>14</v>
      </c>
    </row>
    <row r="52" spans="1:8" ht="15">
      <c r="A52" s="3" t="str">
        <f>"0373200010012000041"</f>
        <v>0373200010012000041</v>
      </c>
      <c r="B52" t="str">
        <f>"7726675006"</f>
        <v>7726675006</v>
      </c>
      <c r="C52" s="3" t="s">
        <v>137</v>
      </c>
      <c r="D52" t="s">
        <v>91</v>
      </c>
      <c r="E52">
        <f>225731226/100</f>
        <v>2257312.26</v>
      </c>
      <c r="F52" s="1">
        <v>41008</v>
      </c>
      <c r="G52" s="2">
        <v>41214</v>
      </c>
      <c r="H52" t="s">
        <v>9</v>
      </c>
    </row>
    <row r="53" spans="1:8" ht="15">
      <c r="A53" s="3" t="str">
        <f>"0373200012313000122"</f>
        <v>0373200012313000122</v>
      </c>
      <c r="B53" t="str">
        <f aca="true" t="shared" si="3" ref="B53:B67">"7727755945"</f>
        <v>7727755945</v>
      </c>
      <c r="C53" s="3" t="s">
        <v>132</v>
      </c>
      <c r="D53" t="s">
        <v>13</v>
      </c>
      <c r="E53">
        <f>233915720/100</f>
        <v>2339157.2</v>
      </c>
      <c r="F53" s="1">
        <v>41547</v>
      </c>
      <c r="G53" s="2">
        <v>41609</v>
      </c>
      <c r="H53" t="s">
        <v>9</v>
      </c>
    </row>
    <row r="54" spans="1:8" ht="15">
      <c r="A54" s="3" t="str">
        <f>"0373200012313000113"</f>
        <v>0373200012313000113</v>
      </c>
      <c r="B54" t="str">
        <f t="shared" si="3"/>
        <v>7727755945</v>
      </c>
      <c r="C54" s="3" t="s">
        <v>132</v>
      </c>
      <c r="D54" t="s">
        <v>16</v>
      </c>
      <c r="E54">
        <f>922490247/100</f>
        <v>9224902.47</v>
      </c>
      <c r="F54" s="1">
        <v>41533</v>
      </c>
      <c r="G54" s="2">
        <v>41609</v>
      </c>
      <c r="H54" t="s">
        <v>9</v>
      </c>
    </row>
    <row r="55" spans="1:8" ht="15">
      <c r="A55" s="3" t="str">
        <f>"0373200012313000092"</f>
        <v>0373200012313000092</v>
      </c>
      <c r="B55" t="str">
        <f t="shared" si="3"/>
        <v>7727755945</v>
      </c>
      <c r="C55" s="3" t="s">
        <v>132</v>
      </c>
      <c r="D55" t="s">
        <v>26</v>
      </c>
      <c r="E55">
        <f>42100000/100</f>
        <v>421000</v>
      </c>
      <c r="F55" s="1">
        <v>41484</v>
      </c>
      <c r="G55" s="2">
        <v>41609</v>
      </c>
      <c r="H55" t="s">
        <v>9</v>
      </c>
    </row>
    <row r="56" spans="1:8" ht="15">
      <c r="A56" s="3" t="str">
        <f>"0373200012313000076"</f>
        <v>0373200012313000076</v>
      </c>
      <c r="B56" t="str">
        <f t="shared" si="3"/>
        <v>7727755945</v>
      </c>
      <c r="C56" s="3" t="s">
        <v>132</v>
      </c>
      <c r="D56" t="s">
        <v>27</v>
      </c>
      <c r="E56">
        <f>22892627/100</f>
        <v>228926.27</v>
      </c>
      <c r="F56" s="1">
        <v>41477</v>
      </c>
      <c r="G56" s="2">
        <v>41609</v>
      </c>
      <c r="H56" t="s">
        <v>14</v>
      </c>
    </row>
    <row r="57" spans="1:8" ht="15">
      <c r="A57" s="3" t="str">
        <f>"0373200012313000091"</f>
        <v>0373200012313000091</v>
      </c>
      <c r="B57" t="str">
        <f t="shared" si="3"/>
        <v>7727755945</v>
      </c>
      <c r="C57" s="3" t="s">
        <v>132</v>
      </c>
      <c r="D57" t="s">
        <v>28</v>
      </c>
      <c r="E57">
        <f>47200000/100</f>
        <v>472000</v>
      </c>
      <c r="F57" s="1">
        <v>41474</v>
      </c>
      <c r="G57" s="2">
        <v>41609</v>
      </c>
      <c r="H57" t="s">
        <v>14</v>
      </c>
    </row>
    <row r="58" spans="1:8" ht="15">
      <c r="A58" s="3" t="str">
        <f>"0373200012313000074"</f>
        <v>0373200012313000074</v>
      </c>
      <c r="B58" t="str">
        <f t="shared" si="3"/>
        <v>7727755945</v>
      </c>
      <c r="C58" s="3" t="s">
        <v>132</v>
      </c>
      <c r="D58" t="s">
        <v>30</v>
      </c>
      <c r="E58">
        <f>1060943785/100</f>
        <v>10609437.85</v>
      </c>
      <c r="F58" s="1">
        <v>41456</v>
      </c>
      <c r="G58" s="2">
        <v>41609</v>
      </c>
      <c r="H58" t="s">
        <v>9</v>
      </c>
    </row>
    <row r="59" spans="1:8" ht="15">
      <c r="A59" s="3" t="str">
        <f>"0373200012313000073"</f>
        <v>0373200012313000073</v>
      </c>
      <c r="B59" t="str">
        <f t="shared" si="3"/>
        <v>7727755945</v>
      </c>
      <c r="C59" s="3" t="s">
        <v>132</v>
      </c>
      <c r="D59" t="s">
        <v>31</v>
      </c>
      <c r="E59">
        <f>916958650/100</f>
        <v>9169586.5</v>
      </c>
      <c r="F59" s="1">
        <v>41456</v>
      </c>
      <c r="G59" s="2">
        <v>41609</v>
      </c>
      <c r="H59" t="s">
        <v>9</v>
      </c>
    </row>
    <row r="60" spans="1:8" ht="15">
      <c r="A60" s="3" t="str">
        <f>"0373200012313000072"</f>
        <v>0373200012313000072</v>
      </c>
      <c r="B60" t="str">
        <f t="shared" si="3"/>
        <v>7727755945</v>
      </c>
      <c r="C60" s="3" t="s">
        <v>132</v>
      </c>
      <c r="D60" t="s">
        <v>32</v>
      </c>
      <c r="E60">
        <f>1225694599/100</f>
        <v>12256945.99</v>
      </c>
      <c r="F60" s="1">
        <v>41456</v>
      </c>
      <c r="G60" s="2">
        <v>41609</v>
      </c>
      <c r="H60" t="s">
        <v>9</v>
      </c>
    </row>
    <row r="61" spans="1:8" ht="15">
      <c r="A61" s="3" t="str">
        <f>"0373200012313000071"</f>
        <v>0373200012313000071</v>
      </c>
      <c r="B61" t="str">
        <f t="shared" si="3"/>
        <v>7727755945</v>
      </c>
      <c r="C61" s="3" t="s">
        <v>132</v>
      </c>
      <c r="D61" t="s">
        <v>33</v>
      </c>
      <c r="E61">
        <f>1309736591/100</f>
        <v>13097365.91</v>
      </c>
      <c r="F61" s="1">
        <v>41456</v>
      </c>
      <c r="G61" s="2">
        <v>41609</v>
      </c>
      <c r="H61" t="s">
        <v>9</v>
      </c>
    </row>
    <row r="62" spans="1:8" ht="15">
      <c r="A62" s="3" t="str">
        <f>"0373200012313000070"</f>
        <v>0373200012313000070</v>
      </c>
      <c r="B62" t="str">
        <f t="shared" si="3"/>
        <v>7727755945</v>
      </c>
      <c r="C62" s="3" t="s">
        <v>132</v>
      </c>
      <c r="D62" t="s">
        <v>34</v>
      </c>
      <c r="E62">
        <f>1196940158/100</f>
        <v>11969401.58</v>
      </c>
      <c r="F62" s="1">
        <v>41456</v>
      </c>
      <c r="G62" s="2">
        <v>41609</v>
      </c>
      <c r="H62" t="s">
        <v>9</v>
      </c>
    </row>
    <row r="63" spans="1:8" ht="15">
      <c r="A63" s="3" t="str">
        <f>"0373200012313000068"</f>
        <v>0373200012313000068</v>
      </c>
      <c r="B63" t="str">
        <f t="shared" si="3"/>
        <v>7727755945</v>
      </c>
      <c r="C63" s="3" t="s">
        <v>132</v>
      </c>
      <c r="D63" t="s">
        <v>35</v>
      </c>
      <c r="E63">
        <f>807740791/100</f>
        <v>8077407.91</v>
      </c>
      <c r="F63" s="1">
        <v>41445</v>
      </c>
      <c r="G63" s="2">
        <v>41609</v>
      </c>
      <c r="H63" t="s">
        <v>9</v>
      </c>
    </row>
    <row r="64" spans="1:8" ht="15">
      <c r="A64" s="3" t="str">
        <f>"0373200012313000064"</f>
        <v>0373200012313000064</v>
      </c>
      <c r="B64" t="str">
        <f t="shared" si="3"/>
        <v>7727755945</v>
      </c>
      <c r="C64" s="3" t="s">
        <v>132</v>
      </c>
      <c r="D64" t="s">
        <v>37</v>
      </c>
      <c r="E64">
        <f>1325884348/100</f>
        <v>13258843.48</v>
      </c>
      <c r="F64" s="1">
        <v>41407</v>
      </c>
      <c r="G64" s="2">
        <v>41609</v>
      </c>
      <c r="H64" t="s">
        <v>9</v>
      </c>
    </row>
    <row r="65" spans="1:8" ht="15">
      <c r="A65" s="3" t="str">
        <f>"0373200012313000043"</f>
        <v>0373200012313000043</v>
      </c>
      <c r="B65" t="str">
        <f t="shared" si="3"/>
        <v>7727755945</v>
      </c>
      <c r="C65" s="3" t="s">
        <v>132</v>
      </c>
      <c r="D65" t="s">
        <v>39</v>
      </c>
      <c r="E65">
        <f>67485274/100</f>
        <v>674852.74</v>
      </c>
      <c r="F65" s="1">
        <v>41366</v>
      </c>
      <c r="G65" s="2">
        <v>41609</v>
      </c>
      <c r="H65" t="s">
        <v>9</v>
      </c>
    </row>
    <row r="66" spans="1:8" ht="15">
      <c r="A66" s="3" t="str">
        <f>"0373200012313000011"</f>
        <v>0373200012313000011</v>
      </c>
      <c r="B66" t="str">
        <f t="shared" si="3"/>
        <v>7727755945</v>
      </c>
      <c r="C66" s="3" t="s">
        <v>132</v>
      </c>
      <c r="D66" t="s">
        <v>48</v>
      </c>
      <c r="E66">
        <f>3812816408/100</f>
        <v>38128164.08</v>
      </c>
      <c r="F66" s="1">
        <v>41309</v>
      </c>
      <c r="G66" s="2">
        <v>41609</v>
      </c>
      <c r="H66" t="s">
        <v>9</v>
      </c>
    </row>
    <row r="67" spans="1:8" ht="15">
      <c r="A67" s="3" t="str">
        <f>"0373200012313000010"</f>
        <v>0373200012313000010</v>
      </c>
      <c r="B67" t="str">
        <f t="shared" si="3"/>
        <v>7727755945</v>
      </c>
      <c r="C67" s="3" t="s">
        <v>132</v>
      </c>
      <c r="D67" t="s">
        <v>49</v>
      </c>
      <c r="E67">
        <f>1153588274/100</f>
        <v>11535882.74</v>
      </c>
      <c r="F67" s="1">
        <v>41309</v>
      </c>
      <c r="G67" s="2">
        <v>41609</v>
      </c>
      <c r="H67" t="s">
        <v>9</v>
      </c>
    </row>
    <row r="68" spans="1:8" ht="15">
      <c r="A68" s="3" t="str">
        <f>"0373200012312000085"</f>
        <v>0373200012312000085</v>
      </c>
      <c r="B68" t="str">
        <f aca="true" t="shared" si="4" ref="B68:B74">"7728753500"</f>
        <v>7728753500</v>
      </c>
      <c r="C68" s="3" t="s">
        <v>131</v>
      </c>
      <c r="D68" t="s">
        <v>53</v>
      </c>
      <c r="E68">
        <f>186261274/100</f>
        <v>1862612.74</v>
      </c>
      <c r="F68" s="1">
        <v>41257</v>
      </c>
      <c r="G68" s="2">
        <v>41244</v>
      </c>
      <c r="H68" t="s">
        <v>14</v>
      </c>
    </row>
    <row r="69" spans="1:8" ht="15">
      <c r="A69" s="3" t="str">
        <f>"0373200012312000047"</f>
        <v>0373200012312000047</v>
      </c>
      <c r="B69" t="str">
        <f t="shared" si="4"/>
        <v>7728753500</v>
      </c>
      <c r="C69" s="3" t="s">
        <v>131</v>
      </c>
      <c r="D69" t="s">
        <v>70</v>
      </c>
      <c r="E69">
        <f>2712207597/100</f>
        <v>27122075.97</v>
      </c>
      <c r="F69" s="1">
        <v>41148</v>
      </c>
      <c r="G69" s="2">
        <v>41244</v>
      </c>
      <c r="H69" t="s">
        <v>14</v>
      </c>
    </row>
    <row r="70" spans="1:8" ht="15">
      <c r="A70" s="3" t="str">
        <f>"0373200012312000040"</f>
        <v>0373200012312000040</v>
      </c>
      <c r="B70" t="str">
        <f t="shared" si="4"/>
        <v>7728753500</v>
      </c>
      <c r="C70" s="3" t="s">
        <v>131</v>
      </c>
      <c r="D70" t="s">
        <v>72</v>
      </c>
      <c r="E70">
        <f>90533961/100</f>
        <v>905339.61</v>
      </c>
      <c r="F70" s="1">
        <v>41143</v>
      </c>
      <c r="G70" s="2">
        <v>41244</v>
      </c>
      <c r="H70" t="s">
        <v>14</v>
      </c>
    </row>
    <row r="71" spans="1:8" ht="15">
      <c r="A71" s="3" t="str">
        <f>"0373200012312000035"</f>
        <v>0373200012312000035</v>
      </c>
      <c r="B71" t="str">
        <f t="shared" si="4"/>
        <v>7728753500</v>
      </c>
      <c r="C71" s="3" t="s">
        <v>131</v>
      </c>
      <c r="D71" t="s">
        <v>75</v>
      </c>
      <c r="E71">
        <f>26930100/100</f>
        <v>269301</v>
      </c>
      <c r="F71" s="1">
        <v>41134</v>
      </c>
      <c r="G71" s="2">
        <v>41244</v>
      </c>
      <c r="H71" t="s">
        <v>14</v>
      </c>
    </row>
    <row r="72" spans="1:8" ht="15">
      <c r="A72" s="3" t="str">
        <f>"0373200012312000030"</f>
        <v>0373200012312000030</v>
      </c>
      <c r="B72" t="str">
        <f t="shared" si="4"/>
        <v>7728753500</v>
      </c>
      <c r="C72" s="3" t="s">
        <v>131</v>
      </c>
      <c r="D72" t="s">
        <v>76</v>
      </c>
      <c r="E72">
        <f>3779061300/100</f>
        <v>37790613</v>
      </c>
      <c r="F72" s="1">
        <v>41129</v>
      </c>
      <c r="G72" s="2">
        <v>41244</v>
      </c>
      <c r="H72" t="s">
        <v>14</v>
      </c>
    </row>
    <row r="73" spans="1:8" ht="15">
      <c r="A73" s="3" t="str">
        <f>"0373200012312000029"</f>
        <v>0373200012312000029</v>
      </c>
      <c r="B73" t="str">
        <f t="shared" si="4"/>
        <v>7728753500</v>
      </c>
      <c r="C73" s="3" t="s">
        <v>131</v>
      </c>
      <c r="D73" t="s">
        <v>77</v>
      </c>
      <c r="E73">
        <f>449917020/100</f>
        <v>4499170.2</v>
      </c>
      <c r="F73" s="1">
        <v>41129</v>
      </c>
      <c r="G73" s="2">
        <v>41244</v>
      </c>
      <c r="H73" t="s">
        <v>14</v>
      </c>
    </row>
    <row r="74" spans="1:8" ht="15">
      <c r="A74" s="3" t="str">
        <f>"0373200010012000080"</f>
        <v>0373200010012000080</v>
      </c>
      <c r="B74" t="str">
        <f t="shared" si="4"/>
        <v>7728753500</v>
      </c>
      <c r="C74" s="3" t="s">
        <v>131</v>
      </c>
      <c r="D74" t="s">
        <v>85</v>
      </c>
      <c r="E74">
        <f>3975340696/100</f>
        <v>39753406.96</v>
      </c>
      <c r="F74" s="1">
        <v>41039</v>
      </c>
      <c r="G74" s="2">
        <v>41244</v>
      </c>
      <c r="H74" t="s">
        <v>14</v>
      </c>
    </row>
    <row r="75" spans="1:8" ht="15">
      <c r="A75" s="3" t="str">
        <f>"0373200012312000052"</f>
        <v>0373200012312000052</v>
      </c>
      <c r="B75" t="str">
        <f>"7729676745"</f>
        <v>7729676745</v>
      </c>
      <c r="C75" s="3" t="s">
        <v>146</v>
      </c>
      <c r="D75" t="s">
        <v>69</v>
      </c>
      <c r="E75">
        <f>68950074/100</f>
        <v>689500.74</v>
      </c>
      <c r="F75" s="1">
        <v>41152</v>
      </c>
      <c r="G75" s="2">
        <v>41244</v>
      </c>
      <c r="H75" t="s">
        <v>14</v>
      </c>
    </row>
    <row r="76" spans="1:8" ht="15">
      <c r="A76" s="3" t="str">
        <f>"0373200012312000025"</f>
        <v>0373200012312000025</v>
      </c>
      <c r="B76" t="str">
        <f>"7729676745"</f>
        <v>7729676745</v>
      </c>
      <c r="C76" s="3" t="s">
        <v>146</v>
      </c>
      <c r="D76" t="s">
        <v>79</v>
      </c>
      <c r="E76">
        <f>140447593/100</f>
        <v>1404475.93</v>
      </c>
      <c r="F76" s="1">
        <v>41113</v>
      </c>
      <c r="G76" s="2">
        <v>41244</v>
      </c>
      <c r="H76" t="s">
        <v>14</v>
      </c>
    </row>
    <row r="77" spans="1:8" ht="15">
      <c r="A77" s="3" t="str">
        <f>"0373200012312000006"</f>
        <v>0373200012312000006</v>
      </c>
      <c r="B77" t="str">
        <f>"7729676745"</f>
        <v>7729676745</v>
      </c>
      <c r="C77" s="3" t="s">
        <v>146</v>
      </c>
      <c r="D77" t="s">
        <v>83</v>
      </c>
      <c r="E77">
        <f>794861910/100</f>
        <v>7948619.1</v>
      </c>
      <c r="F77" s="1">
        <v>41043</v>
      </c>
      <c r="G77" s="2">
        <v>41244</v>
      </c>
      <c r="H77" t="s">
        <v>14</v>
      </c>
    </row>
    <row r="78" spans="1:8" ht="15">
      <c r="A78" s="3" t="str">
        <f>"0373200010012000036"</f>
        <v>0373200010012000036</v>
      </c>
      <c r="B78" t="str">
        <f>"7729676745"</f>
        <v>7729676745</v>
      </c>
      <c r="C78" s="3" t="s">
        <v>146</v>
      </c>
      <c r="D78" t="s">
        <v>93</v>
      </c>
      <c r="E78">
        <f>424373364/100</f>
        <v>4243733.64</v>
      </c>
      <c r="F78" s="1">
        <v>41002</v>
      </c>
      <c r="G78" s="2">
        <v>41244</v>
      </c>
      <c r="H78" t="s">
        <v>14</v>
      </c>
    </row>
    <row r="79" spans="1:8" ht="15">
      <c r="A79" s="3" t="str">
        <f>"0373200012313000040"</f>
        <v>0373200012313000040</v>
      </c>
      <c r="B79" t="str">
        <f>"7729689254"</f>
        <v>7729689254</v>
      </c>
      <c r="C79" s="3" t="s">
        <v>147</v>
      </c>
      <c r="D79" t="s">
        <v>40</v>
      </c>
      <c r="E79">
        <f>26119024/100</f>
        <v>261190.24</v>
      </c>
      <c r="F79" s="1">
        <v>41360</v>
      </c>
      <c r="G79" s="2">
        <v>41609</v>
      </c>
      <c r="H79" t="s">
        <v>14</v>
      </c>
    </row>
    <row r="80" spans="1:8" ht="15">
      <c r="A80" s="3" t="str">
        <f>"0373200012312000074"</f>
        <v>0373200012312000074</v>
      </c>
      <c r="B80" t="str">
        <f>"7729689254"</f>
        <v>7729689254</v>
      </c>
      <c r="C80" s="3" t="s">
        <v>147</v>
      </c>
      <c r="D80" t="s">
        <v>60</v>
      </c>
      <c r="E80">
        <f>2899431570/100</f>
        <v>28994315.7</v>
      </c>
      <c r="F80" s="1">
        <v>41236</v>
      </c>
      <c r="G80" s="2">
        <v>41609</v>
      </c>
      <c r="H80" t="s">
        <v>9</v>
      </c>
    </row>
    <row r="81" spans="1:8" ht="15">
      <c r="A81" s="3" t="str">
        <f>"0373200012312000073"</f>
        <v>0373200012312000073</v>
      </c>
      <c r="B81" t="str">
        <f>"7729689254"</f>
        <v>7729689254</v>
      </c>
      <c r="C81" s="3" t="s">
        <v>147</v>
      </c>
      <c r="D81" t="s">
        <v>61</v>
      </c>
      <c r="E81">
        <f>2552698028/100</f>
        <v>25526980.28</v>
      </c>
      <c r="F81" s="1">
        <v>41236</v>
      </c>
      <c r="G81" s="2">
        <v>41609</v>
      </c>
      <c r="H81" t="s">
        <v>9</v>
      </c>
    </row>
    <row r="82" spans="1:8" ht="15">
      <c r="A82" s="3" t="str">
        <f>"0373200012313000136"</f>
        <v>0373200012313000136</v>
      </c>
      <c r="B82" t="str">
        <f>"7731413567"</f>
        <v>7731413567</v>
      </c>
      <c r="C82" s="3" t="s">
        <v>139</v>
      </c>
      <c r="D82" t="s">
        <v>10</v>
      </c>
      <c r="E82">
        <f>284824380/100</f>
        <v>2848243.8</v>
      </c>
      <c r="F82" s="1">
        <v>41579</v>
      </c>
      <c r="G82" s="2">
        <v>41974</v>
      </c>
      <c r="H82" t="s">
        <v>9</v>
      </c>
    </row>
    <row r="83" spans="1:8" ht="15">
      <c r="A83" s="3" t="str">
        <f>"0373200012313000038"</f>
        <v>0373200012313000038</v>
      </c>
      <c r="B83" t="str">
        <f>"7731413567"</f>
        <v>7731413567</v>
      </c>
      <c r="C83" s="3" t="s">
        <v>139</v>
      </c>
      <c r="D83" t="s">
        <v>40</v>
      </c>
      <c r="E83">
        <f>34133970/100</f>
        <v>341339.7</v>
      </c>
      <c r="F83" s="1">
        <v>41360</v>
      </c>
      <c r="G83" s="2">
        <v>41609</v>
      </c>
      <c r="H83" t="s">
        <v>14</v>
      </c>
    </row>
    <row r="84" spans="1:8" ht="15">
      <c r="A84" s="3" t="str">
        <f>"0373200012312000079"</f>
        <v>0373200012312000079</v>
      </c>
      <c r="B84" t="str">
        <f>"7731413567"</f>
        <v>7731413567</v>
      </c>
      <c r="C84" s="3" t="s">
        <v>139</v>
      </c>
      <c r="D84" t="s">
        <v>55</v>
      </c>
      <c r="E84">
        <f>2958055536/100</f>
        <v>29580555.36</v>
      </c>
      <c r="F84" s="1">
        <v>41236</v>
      </c>
      <c r="G84" s="2">
        <v>41609</v>
      </c>
      <c r="H84" t="s">
        <v>9</v>
      </c>
    </row>
    <row r="85" spans="1:8" ht="15">
      <c r="A85" s="3" t="str">
        <f>"0373200012312000076"</f>
        <v>0373200012312000076</v>
      </c>
      <c r="B85" t="str">
        <f>"7731413567"</f>
        <v>7731413567</v>
      </c>
      <c r="C85" s="3" t="s">
        <v>139</v>
      </c>
      <c r="D85" t="s">
        <v>58</v>
      </c>
      <c r="E85">
        <f>3200129580/100</f>
        <v>32001295.8</v>
      </c>
      <c r="F85" s="1">
        <v>41236</v>
      </c>
      <c r="G85" s="2">
        <v>41609</v>
      </c>
      <c r="H85" t="s">
        <v>9</v>
      </c>
    </row>
    <row r="86" spans="1:8" ht="15">
      <c r="A86" s="3" t="str">
        <f>"0373200012313000105"</f>
        <v>0373200012313000105</v>
      </c>
      <c r="B86" t="str">
        <f>"7734661014"</f>
        <v>7734661014</v>
      </c>
      <c r="C86" s="3" t="s">
        <v>152</v>
      </c>
      <c r="D86" t="s">
        <v>20</v>
      </c>
      <c r="E86">
        <f>1075162056/100</f>
        <v>10751620.56</v>
      </c>
      <c r="F86" s="1">
        <v>41514</v>
      </c>
      <c r="G86" s="2">
        <v>41609</v>
      </c>
      <c r="H86" t="s">
        <v>9</v>
      </c>
    </row>
    <row r="87" spans="1:8" ht="15">
      <c r="A87" s="3" t="str">
        <f>"0373200012313000094"</f>
        <v>0373200012313000094</v>
      </c>
      <c r="B87" t="str">
        <f>"7734661014"</f>
        <v>7734661014</v>
      </c>
      <c r="C87" s="3" t="s">
        <v>152</v>
      </c>
      <c r="D87" t="s">
        <v>23</v>
      </c>
      <c r="E87">
        <f>838250954/100</f>
        <v>8382509.54</v>
      </c>
      <c r="F87" s="1">
        <v>41500</v>
      </c>
      <c r="G87" s="2">
        <v>41609</v>
      </c>
      <c r="H87" t="s">
        <v>9</v>
      </c>
    </row>
    <row r="88" spans="1:8" ht="15">
      <c r="A88" s="3" t="str">
        <f>"0373200012313000080"</f>
        <v>0373200012313000080</v>
      </c>
      <c r="B88" t="str">
        <f>"7734661014"</f>
        <v>7734661014</v>
      </c>
      <c r="C88" s="3" t="s">
        <v>152</v>
      </c>
      <c r="D88" t="s">
        <v>25</v>
      </c>
      <c r="E88">
        <f>1059087427/100</f>
        <v>10590874.27</v>
      </c>
      <c r="F88" s="1">
        <v>41485</v>
      </c>
      <c r="G88" s="2">
        <v>41609</v>
      </c>
      <c r="H88" t="s">
        <v>9</v>
      </c>
    </row>
    <row r="89" spans="1:8" ht="15">
      <c r="A89" s="3" t="str">
        <f>"0373200012313000008"</f>
        <v>0373200012313000008</v>
      </c>
      <c r="B89" t="str">
        <f>"7734661014"</f>
        <v>7734661014</v>
      </c>
      <c r="C89" s="3" t="s">
        <v>152</v>
      </c>
      <c r="D89" t="s">
        <v>50</v>
      </c>
      <c r="E89">
        <f>2405009732/100</f>
        <v>24050097.32</v>
      </c>
      <c r="F89" s="1">
        <v>41272</v>
      </c>
      <c r="G89" s="2">
        <v>41609</v>
      </c>
      <c r="H89" t="s">
        <v>9</v>
      </c>
    </row>
    <row r="90" spans="1:8" ht="15">
      <c r="A90" s="3" t="str">
        <f>"0373200012313000089"</f>
        <v>0373200012313000089</v>
      </c>
      <c r="B90" t="str">
        <f>"7735546409"</f>
        <v>7735546409</v>
      </c>
      <c r="C90" s="3" t="s">
        <v>133</v>
      </c>
      <c r="D90" t="s">
        <v>8</v>
      </c>
      <c r="E90">
        <f>18560185/100</f>
        <v>185601.85</v>
      </c>
      <c r="F90" s="1">
        <v>41491</v>
      </c>
      <c r="G90" s="2">
        <v>41609</v>
      </c>
      <c r="H90" t="s">
        <v>14</v>
      </c>
    </row>
    <row r="91" spans="1:8" ht="15">
      <c r="A91" s="3" t="str">
        <f>"0373200012313000088"</f>
        <v>0373200012313000088</v>
      </c>
      <c r="B91" t="str">
        <f>"7735546448"</f>
        <v>7735546448</v>
      </c>
      <c r="C91" s="3" t="s">
        <v>134</v>
      </c>
      <c r="D91" t="s">
        <v>24</v>
      </c>
      <c r="E91">
        <f>20353410/100</f>
        <v>203534.1</v>
      </c>
      <c r="F91" s="1">
        <v>41491</v>
      </c>
      <c r="G91" s="2">
        <v>41609</v>
      </c>
      <c r="H91" t="s">
        <v>14</v>
      </c>
    </row>
    <row r="92" spans="1:8" ht="15">
      <c r="A92" s="3" t="str">
        <f>"0373200010012000007"</f>
        <v>0373200010012000007</v>
      </c>
      <c r="B92" t="str">
        <f>"7735560749"</f>
        <v>7735560749</v>
      </c>
      <c r="C92" s="3" t="s">
        <v>145</v>
      </c>
      <c r="D92" t="s">
        <v>43</v>
      </c>
      <c r="E92">
        <f>771180586/100</f>
        <v>7711805.86</v>
      </c>
      <c r="F92" s="1">
        <v>40947</v>
      </c>
      <c r="G92" s="2">
        <v>41244</v>
      </c>
      <c r="H92" t="s">
        <v>14</v>
      </c>
    </row>
    <row r="93" spans="1:8" ht="15">
      <c r="A93" s="3" t="str">
        <f>"0373200010011000126"</f>
        <v>0373200010011000126</v>
      </c>
      <c r="B93" t="str">
        <f>"7735560749"</f>
        <v>7735560749</v>
      </c>
      <c r="C93" s="3" t="s">
        <v>145</v>
      </c>
      <c r="D93" t="s">
        <v>121</v>
      </c>
      <c r="E93">
        <f>2768971785/100</f>
        <v>27689717.85</v>
      </c>
      <c r="F93" s="1">
        <v>40897</v>
      </c>
      <c r="G93" s="2">
        <v>41244</v>
      </c>
      <c r="H93" t="s">
        <v>14</v>
      </c>
    </row>
    <row r="94" spans="1:8" ht="15">
      <c r="A94" s="3" t="str">
        <f>"0373200010011000124"</f>
        <v>0373200010011000124</v>
      </c>
      <c r="B94" t="str">
        <f>"7735560749"</f>
        <v>7735560749</v>
      </c>
      <c r="C94" s="3" t="s">
        <v>145</v>
      </c>
      <c r="D94" t="s">
        <v>123</v>
      </c>
      <c r="E94">
        <f>2781828099/100</f>
        <v>27818280.99</v>
      </c>
      <c r="F94" s="1">
        <v>40897</v>
      </c>
      <c r="G94" s="2">
        <v>41244</v>
      </c>
      <c r="H94" t="s">
        <v>14</v>
      </c>
    </row>
    <row r="95" spans="1:8" ht="15">
      <c r="A95" s="3" t="str">
        <f>"0373200010011000120"</f>
        <v>0373200010011000120</v>
      </c>
      <c r="B95" t="str">
        <f>"7735560749"</f>
        <v>7735560749</v>
      </c>
      <c r="C95" s="3" t="s">
        <v>145</v>
      </c>
      <c r="D95" t="s">
        <v>127</v>
      </c>
      <c r="E95">
        <f>2205049200/100</f>
        <v>22050492</v>
      </c>
      <c r="F95" s="1">
        <v>40897</v>
      </c>
      <c r="G95" s="2">
        <v>41244</v>
      </c>
      <c r="H95" t="s">
        <v>14</v>
      </c>
    </row>
    <row r="96" spans="1:8" ht="15">
      <c r="A96" s="3" t="str">
        <f>"0373200010012000025"</f>
        <v>0373200010012000025</v>
      </c>
      <c r="B96" t="str">
        <f>"7735565105"</f>
        <v>7735565105</v>
      </c>
      <c r="C96" s="3" t="s">
        <v>135</v>
      </c>
      <c r="D96" t="s">
        <v>100</v>
      </c>
      <c r="E96">
        <f>1735225240/100</f>
        <v>17352252.4</v>
      </c>
      <c r="F96" s="1">
        <v>40973</v>
      </c>
      <c r="G96" s="2">
        <v>41214</v>
      </c>
      <c r="H96" t="s">
        <v>9</v>
      </c>
    </row>
    <row r="97" spans="1:8" ht="15">
      <c r="A97" s="3" t="str">
        <f>"0373200010012000023"</f>
        <v>0373200010012000023</v>
      </c>
      <c r="B97" t="str">
        <f>"7735565105"</f>
        <v>7735565105</v>
      </c>
      <c r="C97" s="3" t="s">
        <v>135</v>
      </c>
      <c r="D97" t="s">
        <v>103</v>
      </c>
      <c r="E97">
        <f>1313963300/100</f>
        <v>13139633</v>
      </c>
      <c r="F97" s="1">
        <v>40973</v>
      </c>
      <c r="G97" s="2">
        <v>41214</v>
      </c>
      <c r="H97" t="s">
        <v>9</v>
      </c>
    </row>
    <row r="98" spans="1:8" ht="15">
      <c r="A98" s="3" t="str">
        <f>"0373200010012000020"</f>
        <v>0373200010012000020</v>
      </c>
      <c r="B98" t="str">
        <f>"7735565105"</f>
        <v>7735565105</v>
      </c>
      <c r="C98" s="3" t="s">
        <v>135</v>
      </c>
      <c r="D98" t="s">
        <v>106</v>
      </c>
      <c r="E98">
        <f>1937642850/100</f>
        <v>19376428.5</v>
      </c>
      <c r="F98" s="1">
        <v>40973</v>
      </c>
      <c r="G98" s="2">
        <v>41214</v>
      </c>
      <c r="H98" t="s">
        <v>9</v>
      </c>
    </row>
    <row r="99" spans="1:8" ht="15">
      <c r="A99" s="3" t="str">
        <f>"0373200010012000019"</f>
        <v>0373200010012000019</v>
      </c>
      <c r="B99" t="str">
        <f>"7735565105"</f>
        <v>7735565105</v>
      </c>
      <c r="C99" s="3" t="s">
        <v>135</v>
      </c>
      <c r="D99" t="s">
        <v>107</v>
      </c>
      <c r="E99">
        <f>1905790575/100</f>
        <v>19057905.75</v>
      </c>
      <c r="F99" s="1">
        <v>40973</v>
      </c>
      <c r="G99" s="2">
        <v>41214</v>
      </c>
      <c r="H99" t="s">
        <v>9</v>
      </c>
    </row>
    <row r="100" spans="1:8" ht="15">
      <c r="A100" s="3" t="str">
        <f>"0373200010011000117"</f>
        <v>0373200010011000117</v>
      </c>
      <c r="B100" t="str">
        <f>"7735565105"</f>
        <v>7735565105</v>
      </c>
      <c r="C100" s="3" t="s">
        <v>135</v>
      </c>
      <c r="D100" t="s">
        <v>40</v>
      </c>
      <c r="E100">
        <f>4765345510/100</f>
        <v>47653455.1</v>
      </c>
      <c r="F100" s="1">
        <v>40890</v>
      </c>
      <c r="G100" s="2">
        <v>41244</v>
      </c>
      <c r="H100" t="s">
        <v>14</v>
      </c>
    </row>
    <row r="101" spans="1:8" ht="15">
      <c r="A101" s="3" t="str">
        <f>"0373200010012000024"</f>
        <v>0373200010012000024</v>
      </c>
      <c r="B101" t="str">
        <f aca="true" t="shared" si="5" ref="B101:B106">"7735565345"</f>
        <v>7735565345</v>
      </c>
      <c r="C101" s="3" t="s">
        <v>101</v>
      </c>
      <c r="D101" t="s">
        <v>102</v>
      </c>
      <c r="E101">
        <f>721627000/100</f>
        <v>7216270</v>
      </c>
      <c r="F101" s="1">
        <v>40973</v>
      </c>
      <c r="G101" s="2">
        <v>41214</v>
      </c>
      <c r="H101" t="s">
        <v>9</v>
      </c>
    </row>
    <row r="102" spans="1:8" ht="15">
      <c r="A102" s="3" t="str">
        <f>"0373200010012000022"</f>
        <v>0373200010012000022</v>
      </c>
      <c r="B102" t="str">
        <f t="shared" si="5"/>
        <v>7735565345</v>
      </c>
      <c r="C102" s="3" t="s">
        <v>101</v>
      </c>
      <c r="D102" t="s">
        <v>104</v>
      </c>
      <c r="E102">
        <f>1391548420/100</f>
        <v>13915484.2</v>
      </c>
      <c r="F102" s="1">
        <v>40973</v>
      </c>
      <c r="G102" s="2">
        <v>41214</v>
      </c>
      <c r="H102" t="s">
        <v>14</v>
      </c>
    </row>
    <row r="103" spans="1:8" ht="15">
      <c r="A103" s="3" t="str">
        <f>"0373200010012000021"</f>
        <v>0373200010012000021</v>
      </c>
      <c r="B103" t="str">
        <f t="shared" si="5"/>
        <v>7735565345</v>
      </c>
      <c r="C103" s="3" t="s">
        <v>101</v>
      </c>
      <c r="D103" t="s">
        <v>105</v>
      </c>
      <c r="E103">
        <f>1568654900/100</f>
        <v>15686549</v>
      </c>
      <c r="F103" s="1">
        <v>40973</v>
      </c>
      <c r="G103" s="2">
        <v>41214</v>
      </c>
      <c r="H103" t="s">
        <v>9</v>
      </c>
    </row>
    <row r="104" spans="1:8" ht="15">
      <c r="A104" s="3" t="str">
        <f>"0373200010012000018"</f>
        <v>0373200010012000018</v>
      </c>
      <c r="B104" t="str">
        <f t="shared" si="5"/>
        <v>7735565345</v>
      </c>
      <c r="C104" s="3" t="s">
        <v>101</v>
      </c>
      <c r="D104" t="s">
        <v>108</v>
      </c>
      <c r="E104">
        <f>1805222250/100</f>
        <v>18052222.5</v>
      </c>
      <c r="F104" s="1">
        <v>40973</v>
      </c>
      <c r="G104" s="2">
        <v>41214</v>
      </c>
      <c r="H104" t="s">
        <v>9</v>
      </c>
    </row>
    <row r="105" spans="1:8" ht="15">
      <c r="A105" s="3" t="str">
        <f>"0373200010011000119"</f>
        <v>0373200010011000119</v>
      </c>
      <c r="B105" t="str">
        <f t="shared" si="5"/>
        <v>7735565345</v>
      </c>
      <c r="C105" s="3" t="s">
        <v>101</v>
      </c>
      <c r="D105" t="s">
        <v>128</v>
      </c>
      <c r="E105">
        <f>3343266461/100</f>
        <v>33432664.61</v>
      </c>
      <c r="F105" s="1">
        <v>40890</v>
      </c>
      <c r="G105" s="2">
        <v>41244</v>
      </c>
      <c r="H105" t="s">
        <v>14</v>
      </c>
    </row>
    <row r="106" spans="1:8" ht="15">
      <c r="A106" s="3" t="str">
        <f>"0373200010011000118"</f>
        <v>0373200010011000118</v>
      </c>
      <c r="B106" t="str">
        <f t="shared" si="5"/>
        <v>7735565345</v>
      </c>
      <c r="C106" s="3" t="s">
        <v>101</v>
      </c>
      <c r="D106" t="s">
        <v>129</v>
      </c>
      <c r="E106">
        <f>3092966323/100</f>
        <v>30929663.23</v>
      </c>
      <c r="F106" s="1">
        <v>40890</v>
      </c>
      <c r="G106" s="2">
        <v>41244</v>
      </c>
      <c r="H106" t="s">
        <v>14</v>
      </c>
    </row>
    <row r="107" spans="1:8" ht="15">
      <c r="A107" s="3" t="str">
        <f>"0373200012313000035"</f>
        <v>0373200012313000035</v>
      </c>
      <c r="B107" t="str">
        <f>"7735580826"</f>
        <v>7735580826</v>
      </c>
      <c r="C107" s="3" t="s">
        <v>150</v>
      </c>
      <c r="D107" t="s">
        <v>41</v>
      </c>
      <c r="E107">
        <f>15056509/100</f>
        <v>150565.09</v>
      </c>
      <c r="F107" s="1">
        <v>41359</v>
      </c>
      <c r="G107" s="2">
        <v>41609</v>
      </c>
      <c r="H107" t="s">
        <v>14</v>
      </c>
    </row>
    <row r="108" spans="1:8" ht="15">
      <c r="A108" s="3" t="str">
        <f>"0373200012312000069"</f>
        <v>0373200012312000069</v>
      </c>
      <c r="B108" t="str">
        <f>"7735580826"</f>
        <v>7735580826</v>
      </c>
      <c r="C108" s="3" t="s">
        <v>150</v>
      </c>
      <c r="D108" t="s">
        <v>65</v>
      </c>
      <c r="E108">
        <f>3127338718/100</f>
        <v>31273387.18</v>
      </c>
      <c r="F108" s="1">
        <v>41236</v>
      </c>
      <c r="G108" s="2">
        <v>41609</v>
      </c>
      <c r="H108" t="s">
        <v>9</v>
      </c>
    </row>
    <row r="109" spans="1:8" ht="15">
      <c r="A109" s="3" t="str">
        <f>"0373200010011000122"</f>
        <v>0373200010011000122</v>
      </c>
      <c r="B109" t="str">
        <f>"7735580826"</f>
        <v>7735580826</v>
      </c>
      <c r="C109" s="3" t="s">
        <v>150</v>
      </c>
      <c r="D109" t="s">
        <v>125</v>
      </c>
      <c r="E109">
        <f>2979157867/100</f>
        <v>29791578.67</v>
      </c>
      <c r="F109" s="1">
        <v>40897</v>
      </c>
      <c r="G109" s="2">
        <v>41244</v>
      </c>
      <c r="H109" t="s">
        <v>14</v>
      </c>
    </row>
    <row r="110" spans="1:8" ht="15">
      <c r="A110" s="3" t="str">
        <f>"0373200010012000044"</f>
        <v>0373200010012000044</v>
      </c>
      <c r="B110" t="str">
        <f aca="true" t="shared" si="6" ref="B110:B122">"7736634168"</f>
        <v>7736634168</v>
      </c>
      <c r="C110" s="3" t="s">
        <v>89</v>
      </c>
      <c r="D110" t="s">
        <v>90</v>
      </c>
      <c r="E110">
        <f>1538140500/100</f>
        <v>15381405</v>
      </c>
      <c r="F110" s="1">
        <v>41015</v>
      </c>
      <c r="G110" s="2">
        <v>41214</v>
      </c>
      <c r="H110" t="s">
        <v>9</v>
      </c>
    </row>
    <row r="111" spans="1:8" ht="15">
      <c r="A111" s="3" t="str">
        <f>"0373200010012000029"</f>
        <v>0373200010012000029</v>
      </c>
      <c r="B111" t="str">
        <f t="shared" si="6"/>
        <v>7736634168</v>
      </c>
      <c r="C111" s="3" t="s">
        <v>89</v>
      </c>
      <c r="D111" t="s">
        <v>90</v>
      </c>
      <c r="E111">
        <f>911925000/100</f>
        <v>9119250</v>
      </c>
      <c r="F111" s="1">
        <v>40984</v>
      </c>
      <c r="G111" s="2">
        <v>41214</v>
      </c>
      <c r="H111" t="s">
        <v>9</v>
      </c>
    </row>
    <row r="112" spans="1:8" ht="15">
      <c r="A112" s="3" t="str">
        <f>"0373200010012000030"</f>
        <v>0373200010012000030</v>
      </c>
      <c r="B112" t="str">
        <f t="shared" si="6"/>
        <v>7736634168</v>
      </c>
      <c r="C112" s="3" t="s">
        <v>89</v>
      </c>
      <c r="D112" t="s">
        <v>96</v>
      </c>
      <c r="E112">
        <f>1138753268/100</f>
        <v>11387532.68</v>
      </c>
      <c r="F112" s="1">
        <v>40983</v>
      </c>
      <c r="G112" s="2">
        <v>41214</v>
      </c>
      <c r="H112" t="s">
        <v>9</v>
      </c>
    </row>
    <row r="113" spans="1:8" ht="15">
      <c r="A113" s="3" t="str">
        <f>"0373200010012000028"</f>
        <v>0373200010012000028</v>
      </c>
      <c r="B113" t="str">
        <f t="shared" si="6"/>
        <v>7736634168</v>
      </c>
      <c r="C113" s="3" t="s">
        <v>89</v>
      </c>
      <c r="D113" t="s">
        <v>97</v>
      </c>
      <c r="E113">
        <f>498005576/100</f>
        <v>4980055.76</v>
      </c>
      <c r="F113" s="1">
        <v>40983</v>
      </c>
      <c r="G113" s="2">
        <v>41214</v>
      </c>
      <c r="H113" t="s">
        <v>9</v>
      </c>
    </row>
    <row r="114" spans="1:8" ht="15">
      <c r="A114" s="3" t="str">
        <f>"0373200010012000017"</f>
        <v>0373200010012000017</v>
      </c>
      <c r="B114" t="str">
        <f t="shared" si="6"/>
        <v>7736634168</v>
      </c>
      <c r="C114" s="3" t="s">
        <v>89</v>
      </c>
      <c r="D114" t="s">
        <v>109</v>
      </c>
      <c r="E114">
        <f>106887843/100</f>
        <v>1068878.43</v>
      </c>
      <c r="F114" s="1">
        <v>40967</v>
      </c>
      <c r="G114" s="2">
        <v>41122</v>
      </c>
      <c r="H114" t="s">
        <v>9</v>
      </c>
    </row>
    <row r="115" spans="1:8" ht="15">
      <c r="A115" s="3" t="str">
        <f>"0373200010012000016"</f>
        <v>0373200010012000016</v>
      </c>
      <c r="B115" t="str">
        <f t="shared" si="6"/>
        <v>7736634168</v>
      </c>
      <c r="C115" s="3" t="s">
        <v>89</v>
      </c>
      <c r="D115" t="s">
        <v>110</v>
      </c>
      <c r="E115">
        <f>289430291/100</f>
        <v>2894302.91</v>
      </c>
      <c r="F115" s="1">
        <v>40967</v>
      </c>
      <c r="G115" s="2">
        <v>41122</v>
      </c>
      <c r="H115" t="s">
        <v>9</v>
      </c>
    </row>
    <row r="116" spans="1:8" ht="15">
      <c r="A116" s="3" t="str">
        <f>"0373200010012000015"</f>
        <v>0373200010012000015</v>
      </c>
      <c r="B116" t="str">
        <f t="shared" si="6"/>
        <v>7736634168</v>
      </c>
      <c r="C116" s="3" t="s">
        <v>89</v>
      </c>
      <c r="D116" t="s">
        <v>111</v>
      </c>
      <c r="E116">
        <f>1537003800/100</f>
        <v>15370038</v>
      </c>
      <c r="F116" s="1">
        <v>40966</v>
      </c>
      <c r="G116" s="2">
        <v>41214</v>
      </c>
      <c r="H116" t="s">
        <v>9</v>
      </c>
    </row>
    <row r="117" spans="1:8" ht="15">
      <c r="A117" s="3" t="str">
        <f>"0373200010012000014"</f>
        <v>0373200010012000014</v>
      </c>
      <c r="B117" t="str">
        <f t="shared" si="6"/>
        <v>7736634168</v>
      </c>
      <c r="C117" s="3" t="s">
        <v>89</v>
      </c>
      <c r="D117" t="s">
        <v>112</v>
      </c>
      <c r="E117">
        <f>1447094500/100</f>
        <v>14470945</v>
      </c>
      <c r="F117" s="1">
        <v>40966</v>
      </c>
      <c r="G117" s="2">
        <v>41214</v>
      </c>
      <c r="H117" t="s">
        <v>9</v>
      </c>
    </row>
    <row r="118" spans="1:8" ht="15">
      <c r="A118" s="3" t="str">
        <f>"0373200010012000013"</f>
        <v>0373200010012000013</v>
      </c>
      <c r="B118" t="str">
        <f t="shared" si="6"/>
        <v>7736634168</v>
      </c>
      <c r="C118" s="3" t="s">
        <v>89</v>
      </c>
      <c r="D118" t="s">
        <v>113</v>
      </c>
      <c r="E118">
        <f>1465620197/100</f>
        <v>14656201.97</v>
      </c>
      <c r="F118" s="1">
        <v>40966</v>
      </c>
      <c r="G118" s="2">
        <v>41214</v>
      </c>
      <c r="H118" t="s">
        <v>9</v>
      </c>
    </row>
    <row r="119" spans="1:8" ht="15">
      <c r="A119" s="3" t="str">
        <f>"0373200010012000012"</f>
        <v>0373200010012000012</v>
      </c>
      <c r="B119" t="str">
        <f t="shared" si="6"/>
        <v>7736634168</v>
      </c>
      <c r="C119" s="3" t="s">
        <v>89</v>
      </c>
      <c r="D119" t="s">
        <v>114</v>
      </c>
      <c r="E119">
        <f>720215300/100</f>
        <v>7202153</v>
      </c>
      <c r="F119" s="1">
        <v>40966</v>
      </c>
      <c r="G119" s="2">
        <v>41214</v>
      </c>
      <c r="H119" t="s">
        <v>9</v>
      </c>
    </row>
    <row r="120" spans="1:8" ht="15">
      <c r="A120" s="3" t="str">
        <f>"0373200010012000011"</f>
        <v>0373200010012000011</v>
      </c>
      <c r="B120" t="str">
        <f t="shared" si="6"/>
        <v>7736634168</v>
      </c>
      <c r="C120" s="3" t="s">
        <v>89</v>
      </c>
      <c r="D120" t="s">
        <v>115</v>
      </c>
      <c r="E120">
        <f>831675600/100</f>
        <v>8316756</v>
      </c>
      <c r="F120" s="1">
        <v>40966</v>
      </c>
      <c r="G120" s="2">
        <v>41214</v>
      </c>
      <c r="H120" t="s">
        <v>9</v>
      </c>
    </row>
    <row r="121" spans="1:8" ht="15">
      <c r="A121" s="3" t="str">
        <f>"0373200010012000010"</f>
        <v>0373200010012000010</v>
      </c>
      <c r="B121" t="str">
        <f t="shared" si="6"/>
        <v>7736634168</v>
      </c>
      <c r="C121" s="3" t="s">
        <v>89</v>
      </c>
      <c r="D121" t="s">
        <v>116</v>
      </c>
      <c r="E121">
        <f>1552239590/100</f>
        <v>15522395.9</v>
      </c>
      <c r="F121" s="1">
        <v>40966</v>
      </c>
      <c r="G121" s="2">
        <v>41214</v>
      </c>
      <c r="H121" t="s">
        <v>9</v>
      </c>
    </row>
    <row r="122" spans="1:8" ht="15">
      <c r="A122" s="3" t="str">
        <f>"0373200010012000009"</f>
        <v>0373200010012000009</v>
      </c>
      <c r="B122" t="str">
        <f t="shared" si="6"/>
        <v>7736634168</v>
      </c>
      <c r="C122" s="3" t="s">
        <v>89</v>
      </c>
      <c r="D122" t="s">
        <v>117</v>
      </c>
      <c r="E122">
        <f>1775412594/100</f>
        <v>17754125.94</v>
      </c>
      <c r="F122" s="1">
        <v>40966</v>
      </c>
      <c r="G122" s="2">
        <v>41214</v>
      </c>
      <c r="H122" t="s">
        <v>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Zelenograd.ru</dc:creator>
  <cp:keywords/>
  <dc:description/>
  <cp:lastModifiedBy>Александр Эрлих</cp:lastModifiedBy>
  <dcterms:created xsi:type="dcterms:W3CDTF">2013-11-25T04:04:41Z</dcterms:created>
  <dcterms:modified xsi:type="dcterms:W3CDTF">2013-11-25T10:51:00Z</dcterms:modified>
  <cp:category/>
  <cp:version/>
  <cp:contentType/>
  <cp:contentStatus/>
</cp:coreProperties>
</file>